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firstSheet="16" activeTab="16"/>
  </bookViews>
  <sheets>
    <sheet name="Feed Brackish Water-RO System" sheetId="1" r:id="rId1"/>
    <sheet name="1 st stage RO" sheetId="2" r:id="rId2"/>
    <sheet name="2 nd stage RO" sheetId="3" r:id="rId3"/>
    <sheet name="1 st Stage RO-Feed TDS=4142" sheetId="4" r:id="rId4"/>
    <sheet name="1 Stage of RO-Feed TDS=6848" sheetId="5" r:id="rId5"/>
    <sheet name="1st stage RO-Desalinated Water" sheetId="6" r:id="rId6"/>
    <sheet name="2 nd stage RO-Desalinated Water" sheetId="7" r:id="rId7"/>
    <sheet name="RO-Pilot1(Brine)" sheetId="8" r:id="rId8"/>
    <sheet name="RO-Pilot1(Permeate)" sheetId="9" r:id="rId9"/>
    <sheet name="R0-Pilot2(Feed)" sheetId="10" r:id="rId10"/>
    <sheet name="RO-Pilot2(Permeate)" sheetId="11" r:id="rId11"/>
    <sheet name="RO-Pilot3(Feed)" sheetId="12" r:id="rId12"/>
    <sheet name="RO-Pilot3(Permeate)" sheetId="13" r:id="rId13"/>
    <sheet name="RO-Pilot4(Brine)" sheetId="14" r:id="rId14"/>
    <sheet name="RO-Pilot4(Permeate)" sheetId="15" r:id="rId15"/>
    <sheet name="RO-Pilot5(Feed)" sheetId="16" r:id="rId16"/>
    <sheet name="RO-Pilot5(Brine)" sheetId="17" r:id="rId17"/>
    <sheet name="RO-Pilot6(Feed)" sheetId="18" r:id="rId18"/>
    <sheet name="Electro.4+Chemical Percip." sheetId="19" r:id="rId19"/>
    <sheet name="Sedimentation Tank" sheetId="20" r:id="rId20"/>
    <sheet name="Ultrafiltration" sheetId="21" r:id="rId21"/>
  </sheets>
  <definedNames>
    <definedName name="_xlnm.Print_Area" localSheetId="0">'Feed Brackish Water-RO System'!$A$1:$K$65</definedName>
  </definedNames>
  <calcPr fullCalcOnLoad="1"/>
</workbook>
</file>

<file path=xl/sharedStrings.xml><?xml version="1.0" encoding="utf-8"?>
<sst xmlns="http://schemas.openxmlformats.org/spreadsheetml/2006/main" count="651" uniqueCount="77">
  <si>
    <t>Langelier's and Ryznar's Indices</t>
  </si>
  <si>
    <t>Measured Water Characteristics</t>
  </si>
  <si>
    <t>Calcium (MG/L as CaCO3)</t>
  </si>
  <si>
    <t>pH</t>
  </si>
  <si>
    <t>Temperature (Degrees Celcius)</t>
  </si>
  <si>
    <t>Alkalinity (MG/L as CaCO3)</t>
  </si>
  <si>
    <t>Total Dissolved Solids(MG/L)</t>
  </si>
  <si>
    <t>Calculated Langelier's Index and Ryznar's Stability Index</t>
  </si>
  <si>
    <t>Langelier's Saturation Index</t>
  </si>
  <si>
    <t>Ryznar's Stability Index</t>
  </si>
  <si>
    <t>If the LSI index is positive or the Ryznar &lt; 6.0  calcium carbonate deposition is likely.</t>
  </si>
  <si>
    <t>Calculated Data</t>
  </si>
  <si>
    <t>Ionic Strength</t>
  </si>
  <si>
    <t>Activity Coefficient(m)</t>
  </si>
  <si>
    <t>Activity Coefficient(d)</t>
  </si>
  <si>
    <t>Ca(moles/L)</t>
  </si>
  <si>
    <t>Alk(moles/L)</t>
  </si>
  <si>
    <t>pK2</t>
  </si>
  <si>
    <t>K2</t>
  </si>
  <si>
    <t>K2'</t>
  </si>
  <si>
    <t>pK2'</t>
  </si>
  <si>
    <t>pKs</t>
  </si>
  <si>
    <t>Ks</t>
  </si>
  <si>
    <t>Ks'</t>
  </si>
  <si>
    <t>pKs'</t>
  </si>
  <si>
    <t>pCa</t>
  </si>
  <si>
    <t>pHs</t>
  </si>
  <si>
    <t xml:space="preserve">If the LSI index is negative or the Ryznar &gt;6.0 calcium carbonate is soluble and deposition unlikely. </t>
  </si>
  <si>
    <t xml:space="preserve">1st stage RO brine </t>
  </si>
  <si>
    <t xml:space="preserve">2nd stage RO brine </t>
  </si>
  <si>
    <t>Feed brackish water to RO desalination system</t>
  </si>
  <si>
    <t>Site : RO Pilot Desalination System</t>
  </si>
  <si>
    <t>Permeate TDS=1557</t>
  </si>
  <si>
    <t>Brine TDS=9723</t>
  </si>
  <si>
    <t>Permeate TDS=762</t>
  </si>
  <si>
    <t>Brine TDS=7721</t>
  </si>
  <si>
    <t>Permeate TDS=7.6</t>
  </si>
  <si>
    <t>Feed  TDS=6999</t>
  </si>
  <si>
    <t>Permeate TDS=2740</t>
  </si>
  <si>
    <t xml:space="preserve"> TDS=7264</t>
  </si>
  <si>
    <t>Site : Pilot -Ultrafiltration</t>
  </si>
  <si>
    <t xml:space="preserve"> TDS=6351</t>
  </si>
  <si>
    <t>Feed   TDS=9610</t>
  </si>
  <si>
    <t>Feed   TDS=12739   Adding NaCl to brine</t>
  </si>
  <si>
    <t>Calcium (mg/L as CaCO3)</t>
  </si>
  <si>
    <t>Alkalinity (mg/L as CaCO3)</t>
  </si>
  <si>
    <t>TDS (mg/L)</t>
  </si>
  <si>
    <t>Temperature (ºC)</t>
  </si>
  <si>
    <t>Site : Pilot -Electrocoagulation 4+Chemical Precipitation</t>
  </si>
  <si>
    <t xml:space="preserve"> TDS=8055</t>
  </si>
  <si>
    <t>Site: Brackishwater Desalination System(BWRO)</t>
  </si>
  <si>
    <t>Site :Pilot- Sedimentation Tank with EDTA injection</t>
  </si>
  <si>
    <r>
      <t xml:space="preserve">   </t>
    </r>
    <r>
      <rPr>
        <b/>
        <sz val="14"/>
        <color indexed="12"/>
        <rFont val="B Titr"/>
        <family val="0"/>
      </rPr>
      <t>سامانه نمک زدایی آ ب لب شور مورد مطالعه- نمونه آب لب شور</t>
    </r>
  </si>
  <si>
    <t xml:space="preserve">           سامانه نمک زدایی آ ب لب شور مورد مطالعه-شورابه مرحله اول اسمز معکوس</t>
  </si>
  <si>
    <t xml:space="preserve">           سامانه نمک زدایی آ ب لب شور مورد مطالعه-شورابه مرحله دوم اسمز معکوس</t>
  </si>
  <si>
    <t xml:space="preserve">           سامانه نمک زدایی آ ب لب شور مورد مطالعه- نمونه آب لب شور ورودی به سامانه</t>
  </si>
  <si>
    <t>2nd stage RO desalinated water(Permeate)</t>
  </si>
  <si>
    <t>1st stage RO desalinated water(Permeate)</t>
  </si>
  <si>
    <t xml:space="preserve">         پایلوت- نمونه آب شیرین تولیدی از  اسمز معکوس پایلوت</t>
  </si>
  <si>
    <t xml:space="preserve">         پایلوت- نمونه آب شیرین تولیدی از شورابه مرحله دوم اسمز معکوس سامانه</t>
  </si>
  <si>
    <t>Feed Water TDS=1712</t>
  </si>
  <si>
    <t xml:space="preserve">         پایلوت- نمونه خوراک با  TDS=1712</t>
  </si>
  <si>
    <t xml:space="preserve">         پایلوت- نمونه آب شیرین تولیدی از آب شبکه </t>
  </si>
  <si>
    <t xml:space="preserve">          پایلوت- شورابه مرحله دوم سامانه</t>
  </si>
  <si>
    <t xml:space="preserve">  پایلوت- نمونه آب با  TDS=1557</t>
  </si>
  <si>
    <t>پایلوت- نمونه شورابه با TDS=12660</t>
  </si>
  <si>
    <t>پایلوت- نمونه شورابه با TDS=12739</t>
  </si>
  <si>
    <t>Feed brackish water to RO desalination system adding NaCl</t>
  </si>
  <si>
    <t xml:space="preserve">           سامانه نمک زدایی آ ب لب شور مورد مطالعه- شورابه مرحله اول</t>
  </si>
  <si>
    <t xml:space="preserve">           سامانه نمک زدایی آ ب لب شور مورد مطالعه-آب شیرین مرحله اول اسمز معکوس</t>
  </si>
  <si>
    <t xml:space="preserve">           سامانه نمک زدایی آ ب لب شور مورد مطالعه- شیرین مرحله دوم اسمز معکوس</t>
  </si>
  <si>
    <t xml:space="preserve">         پایلوت- نمونه خوراک برداشتی از شورابه مرحله اول اسمز معکوس سامانه</t>
  </si>
  <si>
    <t xml:space="preserve">          پایلوت- شورابه مرحله دوم سامانه اسمز معکوس</t>
  </si>
  <si>
    <t>Brine from Second Stage of RO adding NaCl TDS=12660</t>
  </si>
  <si>
    <t xml:space="preserve">         پایلوت- فرآیند توام الکتروکواگولاسیون مرحله چهارم و ترسیب شیمیایی</t>
  </si>
  <si>
    <t xml:space="preserve">         پایلوت- فرآیند اولترافیلتراسیون</t>
  </si>
  <si>
    <t>پایلوت- مخزن ته نشینی با تنظیم pH و اضافه کردن  EDTA</t>
  </si>
</sst>
</file>

<file path=xl/styles.xml><?xml version="1.0" encoding="utf-8"?>
<styleSheet xmlns="http://schemas.openxmlformats.org/spreadsheetml/2006/main">
  <numFmts count="24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</numFmts>
  <fonts count="5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Arial MT"/>
      <family val="0"/>
    </font>
    <font>
      <b/>
      <sz val="12"/>
      <name val="Arial MT"/>
      <family val="0"/>
    </font>
    <font>
      <sz val="14"/>
      <color indexed="12"/>
      <name val="Arial MT"/>
      <family val="0"/>
    </font>
    <font>
      <sz val="14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i/>
      <sz val="12"/>
      <name val="Arial MT"/>
      <family val="0"/>
    </font>
    <font>
      <i/>
      <sz val="12"/>
      <color indexed="12"/>
      <name val="Arial MT"/>
      <family val="0"/>
    </font>
    <font>
      <b/>
      <sz val="14"/>
      <name val="Arial MT"/>
      <family val="0"/>
    </font>
    <font>
      <b/>
      <sz val="14"/>
      <color indexed="12"/>
      <name val="B Titr"/>
      <family val="0"/>
    </font>
    <font>
      <b/>
      <sz val="16"/>
      <name val="Arial MT"/>
      <family val="0"/>
    </font>
    <font>
      <i/>
      <sz val="9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10" fontId="9" fillId="0" borderId="0" xfId="0" applyNumberFormat="1" applyFont="1" applyAlignment="1" applyProtection="1">
      <alignment/>
      <protection locked="0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4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25" borderId="10" xfId="0" applyFont="1" applyFill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0" fillId="19" borderId="11" xfId="0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/>
    </xf>
    <xf numFmtId="0" fontId="10" fillId="34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6" fillId="33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14" fillId="34" borderId="0" xfId="0" applyFont="1" applyFill="1" applyAlignment="1" applyProtection="1">
      <alignment horizontal="center"/>
      <protection locked="0"/>
    </xf>
    <xf numFmtId="0" fontId="16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C1:K65"/>
  <sheetViews>
    <sheetView showGridLines="0" zoomScalePageLayoutView="0" workbookViewId="0" topLeftCell="A4">
      <selection activeCell="I23" sqref="I23"/>
    </sheetView>
  </sheetViews>
  <sheetFormatPr defaultColWidth="9.77734375" defaultRowHeight="15"/>
  <cols>
    <col min="1" max="7" width="9.77734375" style="0" customWidth="1"/>
    <col min="8" max="8" width="13.99609375" style="0" customWidth="1"/>
  </cols>
  <sheetData>
    <row r="1" spans="3:11" ht="15">
      <c r="C1" s="30" t="s">
        <v>52</v>
      </c>
      <c r="D1" s="31"/>
      <c r="E1" s="31"/>
      <c r="F1" s="31"/>
      <c r="G1" s="31"/>
      <c r="H1" s="31"/>
      <c r="I1" s="1"/>
      <c r="J1" s="1"/>
      <c r="K1" s="1"/>
    </row>
    <row r="2" spans="3:11" ht="15">
      <c r="C2" s="31"/>
      <c r="D2" s="31"/>
      <c r="E2" s="31"/>
      <c r="F2" s="31"/>
      <c r="G2" s="31"/>
      <c r="H2" s="31"/>
      <c r="I2" s="1"/>
      <c r="J2" s="1"/>
      <c r="K2" s="1"/>
    </row>
    <row r="3" spans="3:11" ht="20.25">
      <c r="C3" s="33" t="s">
        <v>0</v>
      </c>
      <c r="D3" s="33"/>
      <c r="E3" s="33"/>
      <c r="F3" s="33"/>
      <c r="G3" s="33"/>
      <c r="H3" s="33"/>
      <c r="J3" s="1"/>
      <c r="K3" s="1"/>
    </row>
    <row r="4" spans="3:11" ht="15.75">
      <c r="C4" s="11"/>
      <c r="D4" s="11"/>
      <c r="E4" s="11"/>
      <c r="F4" s="11"/>
      <c r="G4" s="11"/>
      <c r="H4" s="11"/>
      <c r="I4" s="2"/>
      <c r="J4" s="1"/>
      <c r="K4" s="1"/>
    </row>
    <row r="5" spans="3:11" ht="15" customHeight="1">
      <c r="C5" s="34" t="s">
        <v>1</v>
      </c>
      <c r="D5" s="34"/>
      <c r="E5" s="34"/>
      <c r="F5" s="34"/>
      <c r="G5" s="34"/>
      <c r="H5" s="34"/>
      <c r="J5" s="1"/>
      <c r="K5" s="1"/>
    </row>
    <row r="6" spans="3:11" ht="15.75">
      <c r="C6" s="3" t="s">
        <v>44</v>
      </c>
      <c r="D6" s="3"/>
      <c r="E6" s="3"/>
      <c r="F6" s="3"/>
      <c r="G6" s="22">
        <v>263.6</v>
      </c>
      <c r="J6" s="1"/>
      <c r="K6" s="1"/>
    </row>
    <row r="7" spans="3:11" ht="15.75">
      <c r="C7" s="3" t="s">
        <v>3</v>
      </c>
      <c r="D7" s="3"/>
      <c r="E7" s="3"/>
      <c r="F7" s="3"/>
      <c r="G7" s="22">
        <v>7.65</v>
      </c>
      <c r="J7" s="1"/>
      <c r="K7" s="1"/>
    </row>
    <row r="8" spans="3:11" ht="15.75">
      <c r="C8" s="3" t="s">
        <v>47</v>
      </c>
      <c r="D8" s="3"/>
      <c r="E8" s="3"/>
      <c r="F8" s="3"/>
      <c r="G8" s="22">
        <v>19.7</v>
      </c>
      <c r="J8" s="1"/>
      <c r="K8" s="1"/>
    </row>
    <row r="9" spans="3:11" ht="15.75">
      <c r="C9" s="3" t="s">
        <v>45</v>
      </c>
      <c r="D9" s="3"/>
      <c r="E9" s="3"/>
      <c r="F9" s="3"/>
      <c r="G9" s="22">
        <v>47</v>
      </c>
      <c r="J9" s="1"/>
      <c r="K9" s="1"/>
    </row>
    <row r="10" spans="3:11" ht="15.75">
      <c r="C10" s="3" t="s">
        <v>46</v>
      </c>
      <c r="D10" s="3"/>
      <c r="E10" s="3"/>
      <c r="F10" s="3"/>
      <c r="G10" s="22">
        <v>3229</v>
      </c>
      <c r="J10" s="1"/>
      <c r="K10" s="1"/>
    </row>
    <row r="11" spans="3:11" ht="15">
      <c r="C11" s="2"/>
      <c r="D11" s="2"/>
      <c r="E11" s="2"/>
      <c r="F11" s="2"/>
      <c r="G11" s="2"/>
      <c r="H11" s="2"/>
      <c r="I11" s="2"/>
      <c r="J11" s="1"/>
      <c r="K11" s="1"/>
    </row>
    <row r="12" spans="3:11" ht="15.75">
      <c r="C12" s="3" t="s">
        <v>7</v>
      </c>
      <c r="J12" s="1"/>
      <c r="K12" s="1"/>
    </row>
    <row r="13" spans="10:11" ht="15.75" thickBot="1">
      <c r="J13" s="1"/>
      <c r="K13" s="1"/>
    </row>
    <row r="14" spans="3:11" ht="16.5" thickBot="1">
      <c r="C14" s="7" t="s">
        <v>8</v>
      </c>
      <c r="D14" s="8"/>
      <c r="E14" s="8"/>
      <c r="F14" s="8"/>
      <c r="G14" s="9">
        <f>G7-G40</f>
        <v>-0.5909252832269765</v>
      </c>
      <c r="J14" s="1"/>
      <c r="K14" s="1"/>
    </row>
    <row r="15" spans="10:11" ht="15.75" thickBot="1">
      <c r="J15" s="1"/>
      <c r="K15" s="1"/>
    </row>
    <row r="16" spans="3:11" ht="16.5" thickBot="1">
      <c r="C16" s="7" t="s">
        <v>9</v>
      </c>
      <c r="D16" s="10"/>
      <c r="E16" s="10"/>
      <c r="F16" s="10"/>
      <c r="G16" s="9">
        <f>ROUND((G40*2)-G7,1)</f>
        <v>8.8</v>
      </c>
      <c r="J16" s="1"/>
      <c r="K16" s="1"/>
    </row>
    <row r="17" spans="10:11" ht="15">
      <c r="J17" s="1"/>
      <c r="K17" s="1"/>
    </row>
    <row r="18" spans="10:11" ht="15">
      <c r="J18" s="1"/>
      <c r="K18" s="1"/>
    </row>
    <row r="19" spans="3:11" ht="15">
      <c r="C19" s="32" t="s">
        <v>27</v>
      </c>
      <c r="D19" s="32"/>
      <c r="E19" s="32"/>
      <c r="F19" s="32"/>
      <c r="G19" s="32"/>
      <c r="H19" s="32"/>
      <c r="I19" s="19"/>
      <c r="J19" s="20"/>
      <c r="K19" s="21"/>
    </row>
    <row r="20" spans="3:11" ht="15">
      <c r="C20" s="32" t="s">
        <v>10</v>
      </c>
      <c r="D20" s="32"/>
      <c r="E20" s="32"/>
      <c r="F20" s="32"/>
      <c r="G20" s="32"/>
      <c r="H20" s="32"/>
      <c r="I20" s="19"/>
      <c r="J20" s="20"/>
      <c r="K20" s="21"/>
    </row>
    <row r="21" spans="10:11" ht="15">
      <c r="J21" s="1"/>
      <c r="K21" s="1"/>
    </row>
    <row r="22" spans="3:11" ht="15">
      <c r="C22" s="2"/>
      <c r="D22" s="2"/>
      <c r="E22" s="2"/>
      <c r="F22" s="2"/>
      <c r="G22" s="2"/>
      <c r="H22" s="2"/>
      <c r="I22" s="2"/>
      <c r="J22" s="1"/>
      <c r="K22" s="1"/>
    </row>
    <row r="23" spans="10:11" ht="15">
      <c r="J23" s="1"/>
      <c r="K23" s="1"/>
    </row>
    <row r="24" spans="5:11" ht="15.75">
      <c r="E24" s="3" t="s">
        <v>11</v>
      </c>
      <c r="J24" s="1"/>
      <c r="K24" s="1"/>
    </row>
    <row r="25" spans="10:11" ht="15">
      <c r="J25" s="1"/>
      <c r="K25" s="1"/>
    </row>
    <row r="26" spans="3:11" ht="15">
      <c r="C26" t="s">
        <v>12</v>
      </c>
      <c r="G26">
        <f>(0.000025)*G10</f>
        <v>0.080725</v>
      </c>
      <c r="J26" s="1"/>
      <c r="K26" s="1"/>
    </row>
    <row r="27" spans="3:11" ht="15">
      <c r="C27" t="s">
        <v>13</v>
      </c>
      <c r="G27">
        <f>10^(-(1820000)*((78.3)*(273+G8))^-1.5*(G26^0.5/(1+G26^0.5)-0.3*G26))</f>
        <v>0.7882080010384656</v>
      </c>
      <c r="J27" s="1"/>
      <c r="K27" s="1"/>
    </row>
    <row r="28" spans="3:11" ht="15">
      <c r="C28" t="s">
        <v>14</v>
      </c>
      <c r="G28">
        <f>10^(-(1820000)*((78.3)*(273+G8))^-1.5*2^2*(G26^0.5/(1+G26^0.5)-0.3*G26))</f>
        <v>0.38597871520710836</v>
      </c>
      <c r="J28" s="1"/>
      <c r="K28" s="1"/>
    </row>
    <row r="29" spans="3:11" ht="15">
      <c r="C29" t="s">
        <v>15</v>
      </c>
      <c r="G29">
        <f>G6*(20/50)*0.001/40</f>
        <v>0.0026360000000000003</v>
      </c>
      <c r="J29" s="1"/>
      <c r="K29" s="1"/>
    </row>
    <row r="30" spans="3:11" ht="15">
      <c r="C30" t="s">
        <v>16</v>
      </c>
      <c r="G30">
        <f>G9*0.001/100</f>
        <v>0.00047</v>
      </c>
      <c r="J30" s="1"/>
      <c r="K30" s="1"/>
    </row>
    <row r="31" spans="3:11" ht="15">
      <c r="C31" t="s">
        <v>17</v>
      </c>
      <c r="G31">
        <f>(2902.39/(273+G8))+0.02379*(273+G8)-6.498</f>
        <v>10.38125373795695</v>
      </c>
      <c r="J31" s="1"/>
      <c r="K31" s="1"/>
    </row>
    <row r="32" spans="3:11" ht="15">
      <c r="C32" t="s">
        <v>18</v>
      </c>
      <c r="G32">
        <f>1/10^G31</f>
        <v>4.156676843455593E-11</v>
      </c>
      <c r="J32" s="1"/>
      <c r="K32" s="1"/>
    </row>
    <row r="33" spans="3:11" ht="15">
      <c r="C33" t="s">
        <v>19</v>
      </c>
      <c r="G33">
        <f>G32/G28</f>
        <v>1.0769186692652739E-10</v>
      </c>
      <c r="J33" s="1"/>
      <c r="K33" s="1"/>
    </row>
    <row r="34" spans="3:11" ht="15">
      <c r="C34" t="s">
        <v>20</v>
      </c>
      <c r="G34">
        <f>LOG(1/G33)</f>
        <v>9.967817094123594</v>
      </c>
      <c r="J34" s="1"/>
      <c r="K34" s="1"/>
    </row>
    <row r="35" spans="3:11" ht="15">
      <c r="C35" t="s">
        <v>21</v>
      </c>
      <c r="G35">
        <f>0.01183*(G8)+8.03</f>
        <v>8.263050999999999</v>
      </c>
      <c r="J35" s="1"/>
      <c r="K35" s="1"/>
    </row>
    <row r="36" spans="3:11" ht="15">
      <c r="C36" t="s">
        <v>22</v>
      </c>
      <c r="G36">
        <f>1/10^G35</f>
        <v>5.4569377550450735E-09</v>
      </c>
      <c r="J36" s="1"/>
      <c r="K36" s="1"/>
    </row>
    <row r="37" spans="3:11" ht="15">
      <c r="C37" t="s">
        <v>23</v>
      </c>
      <c r="G37">
        <f>G36/G28^2</f>
        <v>3.6628765988412425E-08</v>
      </c>
      <c r="J37" s="1"/>
      <c r="K37" s="1"/>
    </row>
    <row r="38" spans="3:11" ht="15">
      <c r="C38" t="s">
        <v>24</v>
      </c>
      <c r="G38">
        <f>LOG(1/G37)</f>
        <v>7.436177712333286</v>
      </c>
      <c r="J38" s="1"/>
      <c r="K38" s="1"/>
    </row>
    <row r="39" spans="3:11" ht="15">
      <c r="C39" t="s">
        <v>25</v>
      </c>
      <c r="G39">
        <f>LOG(1/G29)</f>
        <v>2.579054594078028</v>
      </c>
      <c r="J39" s="1"/>
      <c r="K39" s="1"/>
    </row>
    <row r="40" spans="3:11" ht="15">
      <c r="C40" t="s">
        <v>26</v>
      </c>
      <c r="G40">
        <f>G34+G39-G38-LOG(2*G30)-LOG(G27)</f>
        <v>8.240925283226977</v>
      </c>
      <c r="J40" s="1"/>
      <c r="K40" s="1"/>
    </row>
    <row r="41" spans="10:11" ht="15">
      <c r="J41" s="1"/>
      <c r="K41" s="1"/>
    </row>
    <row r="42" spans="10:11" ht="15">
      <c r="J42" s="1"/>
      <c r="K42" s="1"/>
    </row>
    <row r="43" spans="4:11" ht="15">
      <c r="D43" s="1"/>
      <c r="J43" s="1"/>
      <c r="K43" s="1"/>
    </row>
    <row r="44" spans="3:11" ht="18">
      <c r="C44" s="5" t="s">
        <v>50</v>
      </c>
      <c r="E44" s="4"/>
      <c r="F44" s="4"/>
      <c r="G44" s="4"/>
      <c r="J44" s="1"/>
      <c r="K44" s="1"/>
    </row>
    <row r="45" spans="3:11" ht="18">
      <c r="C45" s="6" t="s">
        <v>30</v>
      </c>
      <c r="J45" s="1"/>
      <c r="K45" s="1"/>
    </row>
    <row r="46" spans="10:11" ht="15">
      <c r="J46" s="1"/>
      <c r="K46" s="1"/>
    </row>
    <row r="47" spans="10:11" ht="15">
      <c r="J47" s="1"/>
      <c r="K47" s="1"/>
    </row>
    <row r="48" spans="10:11" ht="15">
      <c r="J48" s="1"/>
      <c r="K48" s="1"/>
    </row>
    <row r="49" spans="10:11" ht="15">
      <c r="J49" s="1"/>
      <c r="K49" s="1"/>
    </row>
    <row r="50" spans="10:11" ht="15">
      <c r="J50" s="1"/>
      <c r="K50" s="1"/>
    </row>
    <row r="51" spans="10:11" ht="15">
      <c r="J51" s="1"/>
      <c r="K51" s="1"/>
    </row>
    <row r="52" spans="10:11" ht="15">
      <c r="J52" s="1"/>
      <c r="K52" s="1"/>
    </row>
    <row r="53" spans="3:11" ht="15">
      <c r="C53" s="1"/>
      <c r="D53" s="1"/>
      <c r="E53" s="1"/>
      <c r="F53" s="1"/>
      <c r="G53" s="1"/>
      <c r="H53" s="1"/>
      <c r="I53" s="1"/>
      <c r="J53" s="1"/>
      <c r="K53" s="1"/>
    </row>
    <row r="54" spans="3:11" ht="15">
      <c r="C54" s="1"/>
      <c r="D54" s="1"/>
      <c r="E54" s="1"/>
      <c r="F54" s="1"/>
      <c r="G54" s="1"/>
      <c r="H54" s="1"/>
      <c r="I54" s="1"/>
      <c r="J54" s="1"/>
      <c r="K54" s="1"/>
    </row>
    <row r="55" spans="3:11" ht="15">
      <c r="C55" s="1"/>
      <c r="D55" s="1"/>
      <c r="E55" s="1"/>
      <c r="F55" s="1"/>
      <c r="G55" s="1"/>
      <c r="H55" s="1"/>
      <c r="I55" s="1"/>
      <c r="J55" s="1"/>
      <c r="K55" s="1"/>
    </row>
    <row r="56" spans="3:11" ht="15">
      <c r="C56" s="1"/>
      <c r="D56" s="1"/>
      <c r="E56" s="1"/>
      <c r="F56" s="1"/>
      <c r="G56" s="1"/>
      <c r="H56" s="1"/>
      <c r="I56" s="1"/>
      <c r="J56" s="1"/>
      <c r="K56" s="1"/>
    </row>
    <row r="57" spans="3:11" ht="15">
      <c r="C57" s="1"/>
      <c r="D57" s="1"/>
      <c r="E57" s="1"/>
      <c r="F57" s="1"/>
      <c r="G57" s="1"/>
      <c r="H57" s="1"/>
      <c r="I57" s="1"/>
      <c r="J57" s="1"/>
      <c r="K57" s="1"/>
    </row>
    <row r="58" spans="3:11" ht="15">
      <c r="C58" s="1"/>
      <c r="D58" s="1"/>
      <c r="E58" s="1"/>
      <c r="F58" s="1"/>
      <c r="G58" s="1"/>
      <c r="H58" s="1"/>
      <c r="I58" s="1"/>
      <c r="J58" s="1"/>
      <c r="K58" s="1"/>
    </row>
    <row r="59" spans="3:11" ht="15">
      <c r="C59" s="1"/>
      <c r="D59" s="1"/>
      <c r="E59" s="1"/>
      <c r="F59" s="1"/>
      <c r="G59" s="1"/>
      <c r="H59" s="1"/>
      <c r="I59" s="1"/>
      <c r="J59" s="1"/>
      <c r="K59" s="1"/>
    </row>
    <row r="60" spans="3:11" ht="15">
      <c r="C60" s="1"/>
      <c r="D60" s="1"/>
      <c r="E60" s="1"/>
      <c r="F60" s="1"/>
      <c r="G60" s="1"/>
      <c r="H60" s="1"/>
      <c r="I60" s="1"/>
      <c r="J60" s="1"/>
      <c r="K60" s="1"/>
    </row>
    <row r="61" spans="3:11" ht="15">
      <c r="C61" s="1"/>
      <c r="D61" s="1"/>
      <c r="E61" s="1"/>
      <c r="F61" s="1"/>
      <c r="G61" s="1"/>
      <c r="H61" s="1"/>
      <c r="I61" s="1"/>
      <c r="J61" s="1"/>
      <c r="K61" s="1"/>
    </row>
    <row r="62" spans="3:11" ht="15">
      <c r="C62" s="1"/>
      <c r="D62" s="1"/>
      <c r="E62" s="1"/>
      <c r="F62" s="1"/>
      <c r="G62" s="1"/>
      <c r="H62" s="1"/>
      <c r="I62" s="1"/>
      <c r="J62" s="1"/>
      <c r="K62" s="1"/>
    </row>
    <row r="63" spans="3:11" ht="15">
      <c r="C63" s="1"/>
      <c r="D63" s="1"/>
      <c r="E63" s="1"/>
      <c r="F63" s="1"/>
      <c r="G63" s="1"/>
      <c r="H63" s="1"/>
      <c r="I63" s="1"/>
      <c r="J63" s="1"/>
      <c r="K63" s="1"/>
    </row>
    <row r="64" spans="3:11" ht="15">
      <c r="C64" s="1"/>
      <c r="D64" s="1"/>
      <c r="E64" s="1"/>
      <c r="F64" s="1"/>
      <c r="G64" s="1"/>
      <c r="H64" s="1"/>
      <c r="I64" s="1"/>
      <c r="J64" s="1"/>
      <c r="K64" s="1"/>
    </row>
    <row r="65" spans="3:11" ht="15">
      <c r="C65" s="1"/>
      <c r="D65" s="1"/>
      <c r="E65" s="1"/>
      <c r="F65" s="1"/>
      <c r="G65" s="1"/>
      <c r="H65" s="1"/>
      <c r="I65" s="1"/>
      <c r="J65" s="1"/>
      <c r="K65" s="1"/>
    </row>
  </sheetData>
  <sheetProtection/>
  <mergeCells count="5">
    <mergeCell ref="C1:H2"/>
    <mergeCell ref="C19:H19"/>
    <mergeCell ref="C20:H20"/>
    <mergeCell ref="C3:H3"/>
    <mergeCell ref="C5:H5"/>
  </mergeCells>
  <printOptions horizontalCentered="1" verticalCentered="1"/>
  <pageMargins left="0.5" right="0.5" top="0.5" bottom="0.55" header="0.5" footer="0.5"/>
  <pageSetup fitToHeight="1" fitToWidth="1" horizontalDpi="300" verticalDpi="300" orientation="portrait" scale="72" r:id="rId1"/>
  <headerFooter alignWithMargins="0">
    <oddFooter xml:space="preserve">&amp;CRemediation Services Company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C1:L41"/>
  <sheetViews>
    <sheetView zoomScalePageLayoutView="0" workbookViewId="0" topLeftCell="A1">
      <selection activeCell="L9" sqref="L9"/>
    </sheetView>
  </sheetViews>
  <sheetFormatPr defaultColWidth="8.88671875" defaultRowHeight="15"/>
  <sheetData>
    <row r="1" spans="3:11" ht="28.5">
      <c r="C1" s="35" t="s">
        <v>61</v>
      </c>
      <c r="D1" s="35"/>
      <c r="E1" s="35"/>
      <c r="F1" s="35"/>
      <c r="G1" s="35"/>
      <c r="H1" s="35"/>
      <c r="I1" s="35"/>
      <c r="J1" s="35"/>
      <c r="K1" s="1"/>
    </row>
    <row r="2" spans="3:11" ht="20.25">
      <c r="C2" s="33" t="s">
        <v>0</v>
      </c>
      <c r="D2" s="33"/>
      <c r="E2" s="33"/>
      <c r="F2" s="33"/>
      <c r="G2" s="33"/>
      <c r="H2" s="33"/>
      <c r="I2" s="33"/>
      <c r="J2" s="33"/>
      <c r="K2" s="1"/>
    </row>
    <row r="3" spans="3:11" ht="15.75">
      <c r="C3" s="34" t="s">
        <v>1</v>
      </c>
      <c r="D3" s="34"/>
      <c r="E3" s="34"/>
      <c r="F3" s="34"/>
      <c r="G3" s="34"/>
      <c r="H3" s="34"/>
      <c r="I3" s="34"/>
      <c r="J3" s="34"/>
      <c r="K3" s="1"/>
    </row>
    <row r="4" spans="3:7" ht="15.75">
      <c r="C4" s="3" t="s">
        <v>44</v>
      </c>
      <c r="D4" s="3"/>
      <c r="E4" s="3"/>
      <c r="F4" s="3"/>
      <c r="G4" s="24">
        <v>109.12</v>
      </c>
    </row>
    <row r="5" spans="3:7" ht="15.75">
      <c r="C5" s="3" t="s">
        <v>3</v>
      </c>
      <c r="D5" s="3"/>
      <c r="E5" s="3"/>
      <c r="F5" s="3"/>
      <c r="G5" s="24">
        <v>7.82</v>
      </c>
    </row>
    <row r="6" spans="3:7" ht="15.75">
      <c r="C6" s="3" t="s">
        <v>47</v>
      </c>
      <c r="D6" s="3"/>
      <c r="E6" s="3"/>
      <c r="F6" s="3"/>
      <c r="G6" s="24">
        <v>16.56</v>
      </c>
    </row>
    <row r="7" spans="3:7" ht="15.75">
      <c r="C7" s="3" t="s">
        <v>45</v>
      </c>
      <c r="D7" s="3"/>
      <c r="E7" s="3"/>
      <c r="F7" s="3"/>
      <c r="G7" s="24">
        <v>209.2</v>
      </c>
    </row>
    <row r="8" spans="3:7" ht="15.75">
      <c r="C8" s="3" t="s">
        <v>46</v>
      </c>
      <c r="D8" s="3"/>
      <c r="E8" s="3"/>
      <c r="F8" s="3"/>
      <c r="G8" s="24">
        <v>1712</v>
      </c>
    </row>
    <row r="9" spans="3:7" ht="15.75">
      <c r="C9" s="3" t="s">
        <v>7</v>
      </c>
      <c r="G9" s="23"/>
    </row>
    <row r="10" ht="15.75" thickBot="1">
      <c r="G10" s="23"/>
    </row>
    <row r="11" spans="3:7" ht="16.5" thickBot="1">
      <c r="C11" s="17" t="s">
        <v>8</v>
      </c>
      <c r="D11" s="16"/>
      <c r="E11" s="16"/>
      <c r="F11" s="16"/>
      <c r="G11" s="28">
        <f>G5-G36</f>
        <v>-0.13138331441730067</v>
      </c>
    </row>
    <row r="12" ht="15.75" thickBot="1">
      <c r="G12" s="23"/>
    </row>
    <row r="13" spans="3:7" ht="16.5" thickBot="1">
      <c r="C13" s="17" t="s">
        <v>9</v>
      </c>
      <c r="D13" s="18"/>
      <c r="E13" s="18"/>
      <c r="F13" s="18"/>
      <c r="G13" s="28">
        <f>ROUND((G36*2)-G5,1)</f>
        <v>8.1</v>
      </c>
    </row>
    <row r="16" spans="3:12" ht="15">
      <c r="C16" s="36" t="s">
        <v>27</v>
      </c>
      <c r="D16" s="36"/>
      <c r="E16" s="36"/>
      <c r="F16" s="36"/>
      <c r="G16" s="36"/>
      <c r="H16" s="36"/>
      <c r="I16" s="36"/>
      <c r="J16" s="36"/>
      <c r="K16" s="19"/>
      <c r="L16" s="19"/>
    </row>
    <row r="17" spans="3:12" ht="15">
      <c r="C17" s="36" t="s">
        <v>10</v>
      </c>
      <c r="D17" s="36"/>
      <c r="E17" s="36"/>
      <c r="F17" s="36"/>
      <c r="G17" s="36"/>
      <c r="H17" s="36"/>
      <c r="I17" s="36"/>
      <c r="J17" s="36"/>
      <c r="K17" s="19"/>
      <c r="L17" s="19"/>
    </row>
    <row r="20" ht="15.75">
      <c r="E20" s="3" t="s">
        <v>11</v>
      </c>
    </row>
    <row r="22" spans="3:7" ht="15">
      <c r="C22" t="s">
        <v>12</v>
      </c>
      <c r="G22" s="23">
        <f>(0.000025)*G8</f>
        <v>0.042800000000000005</v>
      </c>
    </row>
    <row r="23" spans="3:7" ht="15">
      <c r="C23" t="s">
        <v>13</v>
      </c>
      <c r="G23" s="23">
        <f>10^(-(1820000)*((78.3)*(273+G6))^-1.5*(G22^0.5/(1+G22^0.5)-0.3*G22))</f>
        <v>0.8231131211368105</v>
      </c>
    </row>
    <row r="24" spans="3:7" ht="15">
      <c r="C24" t="s">
        <v>14</v>
      </c>
      <c r="G24" s="23">
        <f>10^(-(1820000)*((78.3)*(273+G6))^-1.5*2^2*(G22^0.5/(1+G22^0.5)-0.3*G22))</f>
        <v>0.4590268600355227</v>
      </c>
    </row>
    <row r="25" spans="3:7" ht="15">
      <c r="C25" t="s">
        <v>15</v>
      </c>
      <c r="G25" s="23">
        <f>G4*(20/50)*0.001/40</f>
        <v>0.0010912</v>
      </c>
    </row>
    <row r="26" spans="3:7" ht="15">
      <c r="C26" t="s">
        <v>16</v>
      </c>
      <c r="G26" s="23">
        <f>G7*0.001/100</f>
        <v>0.002092</v>
      </c>
    </row>
    <row r="27" spans="3:7" ht="15">
      <c r="C27" t="s">
        <v>17</v>
      </c>
      <c r="G27" s="23">
        <f>(2902.39/(273+G6))+0.02379*(273+G6)-6.498</f>
        <v>10.414081771460143</v>
      </c>
    </row>
    <row r="28" spans="3:7" ht="15">
      <c r="C28" t="s">
        <v>18</v>
      </c>
      <c r="G28" s="23">
        <f>1/10^G27</f>
        <v>3.8540578441842416E-11</v>
      </c>
    </row>
    <row r="29" spans="3:7" ht="15">
      <c r="C29" t="s">
        <v>19</v>
      </c>
      <c r="G29" s="23">
        <f>G28/G24</f>
        <v>8.396148852566031E-11</v>
      </c>
    </row>
    <row r="30" spans="3:7" ht="15">
      <c r="C30" t="s">
        <v>20</v>
      </c>
      <c r="G30" s="23">
        <f>LOG(1/G29)</f>
        <v>10.075919870557122</v>
      </c>
    </row>
    <row r="31" spans="3:7" ht="15">
      <c r="C31" t="s">
        <v>21</v>
      </c>
      <c r="G31" s="23">
        <f>0.01183*(G6)+8.03</f>
        <v>8.225904799999999</v>
      </c>
    </row>
    <row r="32" spans="3:7" ht="15">
      <c r="C32" t="s">
        <v>22</v>
      </c>
      <c r="G32" s="23">
        <f>1/10^G31</f>
        <v>5.944224453617344E-09</v>
      </c>
    </row>
    <row r="33" spans="3:7" ht="15">
      <c r="C33" t="s">
        <v>23</v>
      </c>
      <c r="G33" s="23">
        <f>G32/G24^2</f>
        <v>2.8211033834762756E-08</v>
      </c>
    </row>
    <row r="34" spans="3:7" ht="15">
      <c r="C34" t="s">
        <v>24</v>
      </c>
      <c r="G34" s="23">
        <f>LOG(1/G33)</f>
        <v>7.549580998193956</v>
      </c>
    </row>
    <row r="35" spans="3:7" ht="15">
      <c r="C35" t="s">
        <v>25</v>
      </c>
      <c r="G35" s="23">
        <f>LOG(1/G25)</f>
        <v>2.962095642687596</v>
      </c>
    </row>
    <row r="36" spans="3:7" ht="15">
      <c r="C36" t="s">
        <v>26</v>
      </c>
      <c r="G36" s="23">
        <f>G30+G35-G34-LOG(2*G26)-LOG(G23)</f>
        <v>7.951383314417301</v>
      </c>
    </row>
    <row r="39" ht="15">
      <c r="D39" s="1"/>
    </row>
    <row r="40" spans="3:7" ht="18">
      <c r="C40" s="5" t="s">
        <v>31</v>
      </c>
      <c r="E40" s="4"/>
      <c r="F40" s="4"/>
      <c r="G40" s="4"/>
    </row>
    <row r="41" ht="18">
      <c r="C41" s="6" t="s">
        <v>60</v>
      </c>
    </row>
  </sheetData>
  <sheetProtection/>
  <mergeCells count="5">
    <mergeCell ref="C1:J1"/>
    <mergeCell ref="C2:J2"/>
    <mergeCell ref="C3:J3"/>
    <mergeCell ref="C16:J16"/>
    <mergeCell ref="C17:J1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1:L41"/>
  <sheetViews>
    <sheetView zoomScalePageLayoutView="0" workbookViewId="0" topLeftCell="A25">
      <selection activeCell="N15" sqref="N15"/>
    </sheetView>
  </sheetViews>
  <sheetFormatPr defaultColWidth="8.88671875" defaultRowHeight="15"/>
  <sheetData>
    <row r="1" spans="3:11" ht="28.5">
      <c r="C1" s="35" t="s">
        <v>62</v>
      </c>
      <c r="D1" s="35"/>
      <c r="E1" s="35"/>
      <c r="F1" s="35"/>
      <c r="G1" s="35"/>
      <c r="H1" s="35"/>
      <c r="I1" s="35"/>
      <c r="J1" s="35"/>
      <c r="K1" s="1"/>
    </row>
    <row r="2" spans="3:11" ht="20.25">
      <c r="C2" s="33" t="s">
        <v>0</v>
      </c>
      <c r="D2" s="33"/>
      <c r="E2" s="33"/>
      <c r="F2" s="33"/>
      <c r="G2" s="33"/>
      <c r="H2" s="33"/>
      <c r="I2" s="33"/>
      <c r="J2" s="33"/>
      <c r="K2" s="1"/>
    </row>
    <row r="3" spans="3:11" ht="15.75">
      <c r="C3" s="34" t="s">
        <v>1</v>
      </c>
      <c r="D3" s="34"/>
      <c r="E3" s="34"/>
      <c r="F3" s="34"/>
      <c r="G3" s="34"/>
      <c r="H3" s="34"/>
      <c r="I3" s="34"/>
      <c r="J3" s="34"/>
      <c r="K3" s="1"/>
    </row>
    <row r="4" spans="3:7" ht="15.75">
      <c r="C4" s="3" t="s">
        <v>44</v>
      </c>
      <c r="D4" s="3"/>
      <c r="E4" s="3"/>
      <c r="F4" s="3"/>
      <c r="G4" s="24">
        <v>3.92</v>
      </c>
    </row>
    <row r="5" spans="3:7" ht="15.75">
      <c r="C5" s="3" t="s">
        <v>3</v>
      </c>
      <c r="D5" s="3"/>
      <c r="E5" s="3"/>
      <c r="F5" s="3"/>
      <c r="G5" s="24">
        <v>7.46</v>
      </c>
    </row>
    <row r="6" spans="3:7" ht="15.75">
      <c r="C6" s="3" t="s">
        <v>47</v>
      </c>
      <c r="D6" s="3"/>
      <c r="E6" s="3"/>
      <c r="F6" s="3"/>
      <c r="G6" s="24">
        <v>16.95</v>
      </c>
    </row>
    <row r="7" spans="3:7" ht="15.75">
      <c r="C7" s="3" t="s">
        <v>45</v>
      </c>
      <c r="D7" s="3"/>
      <c r="E7" s="3"/>
      <c r="F7" s="3"/>
      <c r="G7" s="24">
        <v>118</v>
      </c>
    </row>
    <row r="8" spans="3:7" ht="15.75">
      <c r="C8" s="3" t="s">
        <v>46</v>
      </c>
      <c r="D8" s="3"/>
      <c r="E8" s="3"/>
      <c r="F8" s="3"/>
      <c r="G8" s="24">
        <v>7.6</v>
      </c>
    </row>
    <row r="9" spans="3:7" ht="15.75">
      <c r="C9" s="3" t="s">
        <v>7</v>
      </c>
      <c r="G9" s="23"/>
    </row>
    <row r="10" ht="15.75" thickBot="1">
      <c r="G10" s="23"/>
    </row>
    <row r="11" spans="3:7" ht="16.5" thickBot="1">
      <c r="C11" s="17" t="s">
        <v>8</v>
      </c>
      <c r="D11" s="16"/>
      <c r="E11" s="16"/>
      <c r="F11" s="16"/>
      <c r="G11" s="28">
        <f>G5-G36</f>
        <v>-1.789179277708409</v>
      </c>
    </row>
    <row r="12" ht="15.75" thickBot="1">
      <c r="G12" s="23"/>
    </row>
    <row r="13" spans="3:7" ht="16.5" thickBot="1">
      <c r="C13" s="17" t="s">
        <v>9</v>
      </c>
      <c r="D13" s="18"/>
      <c r="E13" s="18"/>
      <c r="F13" s="18"/>
      <c r="G13" s="28">
        <f>ROUND((G36*2)-G5,1)</f>
        <v>11</v>
      </c>
    </row>
    <row r="16" spans="3:12" ht="15">
      <c r="C16" s="36" t="s">
        <v>27</v>
      </c>
      <c r="D16" s="36"/>
      <c r="E16" s="36"/>
      <c r="F16" s="36"/>
      <c r="G16" s="36"/>
      <c r="H16" s="36"/>
      <c r="I16" s="36"/>
      <c r="J16" s="36"/>
      <c r="K16" s="19"/>
      <c r="L16" s="19"/>
    </row>
    <row r="17" spans="3:12" ht="15">
      <c r="C17" s="36" t="s">
        <v>10</v>
      </c>
      <c r="D17" s="36"/>
      <c r="E17" s="36"/>
      <c r="F17" s="36"/>
      <c r="G17" s="36"/>
      <c r="H17" s="36"/>
      <c r="I17" s="36"/>
      <c r="J17" s="36"/>
      <c r="K17" s="19"/>
      <c r="L17" s="19"/>
    </row>
    <row r="20" ht="15.75">
      <c r="E20" s="3" t="s">
        <v>11</v>
      </c>
    </row>
    <row r="22" spans="3:7" ht="15">
      <c r="C22" t="s">
        <v>12</v>
      </c>
      <c r="G22" s="23">
        <f>(0.000025)*G8</f>
        <v>0.00019</v>
      </c>
    </row>
    <row r="23" spans="3:7" ht="15">
      <c r="C23" t="s">
        <v>13</v>
      </c>
      <c r="G23" s="23">
        <f>10^(-(1820000)*((78.3)*(273+G6))^-1.5*(G22^0.5/(1+G22^0.5)-0.3*G22))</f>
        <v>0.9835498525314685</v>
      </c>
    </row>
    <row r="24" spans="3:7" ht="15">
      <c r="C24" t="s">
        <v>14</v>
      </c>
      <c r="G24" s="23">
        <f>10^(-(1820000)*((78.3)*(273+G6))^-1.5*2^2*(G22^0.5/(1+G22^0.5)-0.3*G22))</f>
        <v>0.9358053213412635</v>
      </c>
    </row>
    <row r="25" spans="3:7" ht="15">
      <c r="C25" t="s">
        <v>15</v>
      </c>
      <c r="G25" s="23">
        <f>G4*(20/50)*0.001/40</f>
        <v>3.9200000000000004E-05</v>
      </c>
    </row>
    <row r="26" spans="3:7" ht="15">
      <c r="C26" t="s">
        <v>16</v>
      </c>
      <c r="G26" s="23">
        <f>G7*0.001/100</f>
        <v>0.00118</v>
      </c>
    </row>
    <row r="27" spans="3:7" ht="15">
      <c r="C27" t="s">
        <v>17</v>
      </c>
      <c r="G27" s="23">
        <f>(2902.39/(273+G6))+0.02379*(273+G6)-6.498</f>
        <v>10.409877735730298</v>
      </c>
    </row>
    <row r="28" spans="3:7" ht="15">
      <c r="C28" t="s">
        <v>18</v>
      </c>
      <c r="G28" s="23">
        <f>1/10^G27</f>
        <v>3.891546859133385E-11</v>
      </c>
    </row>
    <row r="29" spans="3:7" ht="15">
      <c r="C29" t="s">
        <v>19</v>
      </c>
      <c r="G29" s="23">
        <f>G28/G24</f>
        <v>4.1585004598560525E-11</v>
      </c>
    </row>
    <row r="30" spans="3:7" ht="15">
      <c r="C30" t="s">
        <v>20</v>
      </c>
      <c r="G30" s="23">
        <f>LOG(1/G29)</f>
        <v>10.38106324615536</v>
      </c>
    </row>
    <row r="31" spans="3:7" ht="15">
      <c r="C31" t="s">
        <v>21</v>
      </c>
      <c r="G31" s="23">
        <f>0.01183*(G6)+8.03</f>
        <v>8.230518499999999</v>
      </c>
    </row>
    <row r="32" spans="3:7" ht="15">
      <c r="C32" t="s">
        <v>22</v>
      </c>
      <c r="G32" s="23">
        <f>1/10^G31</f>
        <v>5.8814106007992385E-09</v>
      </c>
    </row>
    <row r="33" spans="3:7" ht="15">
      <c r="C33" t="s">
        <v>23</v>
      </c>
      <c r="G33" s="23">
        <f>G32/G24^2</f>
        <v>6.715996778566443E-09</v>
      </c>
    </row>
    <row r="34" spans="3:7" ht="15">
      <c r="C34" t="s">
        <v>24</v>
      </c>
      <c r="G34" s="23">
        <f>LOG(1/G33)</f>
        <v>8.172889520850122</v>
      </c>
    </row>
    <row r="35" spans="3:7" ht="15">
      <c r="C35" t="s">
        <v>25</v>
      </c>
      <c r="G35" s="23">
        <f>LOG(1/G25)</f>
        <v>4.406713932979542</v>
      </c>
    </row>
    <row r="36" spans="3:7" ht="15">
      <c r="C36" t="s">
        <v>26</v>
      </c>
      <c r="G36" s="23">
        <f>G30+G35-G34-LOG(2*G26)-LOG(G23)</f>
        <v>9.249179277708409</v>
      </c>
    </row>
    <row r="40" spans="3:6" ht="18">
      <c r="C40" s="5" t="s">
        <v>31</v>
      </c>
      <c r="D40" s="4"/>
      <c r="E40" s="4"/>
      <c r="F40" s="4"/>
    </row>
    <row r="41" ht="18">
      <c r="C41" s="6" t="s">
        <v>36</v>
      </c>
    </row>
  </sheetData>
  <sheetProtection/>
  <mergeCells count="5">
    <mergeCell ref="C1:J1"/>
    <mergeCell ref="C2:J2"/>
    <mergeCell ref="C3:J3"/>
    <mergeCell ref="C16:J16"/>
    <mergeCell ref="C17:J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1:L40"/>
  <sheetViews>
    <sheetView zoomScalePageLayoutView="0" workbookViewId="0" topLeftCell="A10">
      <selection activeCell="C1" sqref="C1:J1"/>
    </sheetView>
  </sheetViews>
  <sheetFormatPr defaultColWidth="8.88671875" defaultRowHeight="15"/>
  <sheetData>
    <row r="1" spans="3:11" ht="28.5">
      <c r="C1" s="35" t="s">
        <v>71</v>
      </c>
      <c r="D1" s="35"/>
      <c r="E1" s="35"/>
      <c r="F1" s="35"/>
      <c r="G1" s="35"/>
      <c r="H1" s="35"/>
      <c r="I1" s="35"/>
      <c r="J1" s="35"/>
      <c r="K1" s="1"/>
    </row>
    <row r="2" spans="3:11" ht="20.25">
      <c r="C2" s="33" t="s">
        <v>0</v>
      </c>
      <c r="D2" s="33"/>
      <c r="E2" s="33"/>
      <c r="F2" s="33"/>
      <c r="G2" s="33"/>
      <c r="H2" s="33"/>
      <c r="I2" s="33"/>
      <c r="J2" s="33"/>
      <c r="K2" s="1"/>
    </row>
    <row r="3" spans="3:11" ht="15.75">
      <c r="C3" s="34" t="s">
        <v>1</v>
      </c>
      <c r="D3" s="34"/>
      <c r="E3" s="34"/>
      <c r="F3" s="34"/>
      <c r="G3" s="34"/>
      <c r="H3" s="34"/>
      <c r="I3" s="34"/>
      <c r="J3" s="34"/>
      <c r="K3" s="1"/>
    </row>
    <row r="4" spans="3:7" ht="15.75">
      <c r="C4" s="3" t="s">
        <v>2</v>
      </c>
      <c r="D4" s="3"/>
      <c r="E4" s="3"/>
      <c r="F4" s="3"/>
      <c r="G4" s="24">
        <v>484</v>
      </c>
    </row>
    <row r="5" spans="3:7" ht="15.75">
      <c r="C5" s="3" t="s">
        <v>3</v>
      </c>
      <c r="D5" s="3"/>
      <c r="E5" s="3"/>
      <c r="F5" s="3"/>
      <c r="G5" s="24">
        <v>6.95</v>
      </c>
    </row>
    <row r="6" spans="3:7" ht="15.75">
      <c r="C6" s="3" t="s">
        <v>4</v>
      </c>
      <c r="D6" s="3"/>
      <c r="E6" s="3"/>
      <c r="F6" s="3"/>
      <c r="G6" s="24">
        <v>10.3</v>
      </c>
    </row>
    <row r="7" spans="3:7" ht="15.75">
      <c r="C7" s="3" t="s">
        <v>5</v>
      </c>
      <c r="D7" s="3"/>
      <c r="E7" s="3"/>
      <c r="F7" s="3"/>
      <c r="G7" s="24">
        <v>22</v>
      </c>
    </row>
    <row r="8" spans="3:7" ht="15.75">
      <c r="C8" s="3" t="s">
        <v>6</v>
      </c>
      <c r="D8" s="3"/>
      <c r="E8" s="3"/>
      <c r="F8" s="3"/>
      <c r="G8" s="24">
        <v>6999</v>
      </c>
    </row>
    <row r="9" spans="3:7" ht="15.75">
      <c r="C9" s="3" t="s">
        <v>7</v>
      </c>
      <c r="G9" s="23"/>
    </row>
    <row r="10" ht="15.75" thickBot="1">
      <c r="G10" s="23"/>
    </row>
    <row r="11" spans="3:7" ht="16.5" thickBot="1">
      <c r="C11" s="17" t="s">
        <v>8</v>
      </c>
      <c r="D11" s="16"/>
      <c r="E11" s="16"/>
      <c r="F11" s="16"/>
      <c r="G11" s="28">
        <f>G5-G36</f>
        <v>-1.7242690940903342</v>
      </c>
    </row>
    <row r="12" ht="15.75" thickBot="1">
      <c r="G12" s="23"/>
    </row>
    <row r="13" spans="3:7" ht="16.5" thickBot="1">
      <c r="C13" s="17" t="s">
        <v>9</v>
      </c>
      <c r="D13" s="18"/>
      <c r="E13" s="18"/>
      <c r="F13" s="18"/>
      <c r="G13" s="28">
        <f>ROUND((G36*2)-G5,1)</f>
        <v>10.4</v>
      </c>
    </row>
    <row r="16" spans="3:12" ht="15">
      <c r="C16" s="36" t="s">
        <v>27</v>
      </c>
      <c r="D16" s="36"/>
      <c r="E16" s="36"/>
      <c r="F16" s="36"/>
      <c r="G16" s="36"/>
      <c r="H16" s="36"/>
      <c r="I16" s="36"/>
      <c r="J16" s="36"/>
      <c r="K16" s="19"/>
      <c r="L16" s="19"/>
    </row>
    <row r="17" spans="3:12" ht="15">
      <c r="C17" s="36" t="s">
        <v>10</v>
      </c>
      <c r="D17" s="36"/>
      <c r="E17" s="36"/>
      <c r="F17" s="36"/>
      <c r="G17" s="36"/>
      <c r="H17" s="36"/>
      <c r="I17" s="36"/>
      <c r="J17" s="36"/>
      <c r="K17" s="19"/>
      <c r="L17" s="19"/>
    </row>
    <row r="20" ht="15.75">
      <c r="E20" s="3" t="s">
        <v>11</v>
      </c>
    </row>
    <row r="22" spans="3:7" ht="15">
      <c r="C22" t="s">
        <v>12</v>
      </c>
      <c r="G22" s="23">
        <f>(0.000025)*G8</f>
        <v>0.17497500000000002</v>
      </c>
    </row>
    <row r="23" spans="3:7" ht="15">
      <c r="C23" t="s">
        <v>13</v>
      </c>
      <c r="G23" s="23">
        <f>10^(-(1820000)*((78.3)*(273+G6))^-1.5*(G22^0.5/(1+G22^0.5)-0.3*G22))</f>
        <v>0.7352670654212073</v>
      </c>
    </row>
    <row r="24" spans="3:7" ht="15">
      <c r="C24" t="s">
        <v>14</v>
      </c>
      <c r="G24" s="23">
        <f>10^(-(1820000)*((78.3)*(273+G6))^-1.5*2^2*(G22^0.5/(1+G22^0.5)-0.3*G22))</f>
        <v>0.2922674515933419</v>
      </c>
    </row>
    <row r="25" spans="3:7" ht="15">
      <c r="C25" t="s">
        <v>15</v>
      </c>
      <c r="G25" s="23">
        <f>G4*(20/50)*0.001/40</f>
        <v>0.0048400000000000006</v>
      </c>
    </row>
    <row r="26" spans="3:7" ht="15">
      <c r="C26" t="s">
        <v>16</v>
      </c>
      <c r="G26" s="23">
        <f>G7*0.001/100</f>
        <v>0.00021999999999999998</v>
      </c>
    </row>
    <row r="27" spans="3:7" ht="15">
      <c r="C27" t="s">
        <v>17</v>
      </c>
      <c r="G27" s="23">
        <f>(2902.39/(273+G6))+0.02379*(273+G6)-6.498</f>
        <v>10.486641698199787</v>
      </c>
    </row>
    <row r="28" spans="3:7" ht="15">
      <c r="C28" t="s">
        <v>18</v>
      </c>
      <c r="G28" s="23">
        <f>1/10^G27</f>
        <v>3.2610563384446284E-11</v>
      </c>
    </row>
    <row r="29" spans="3:7" ht="15">
      <c r="C29" t="s">
        <v>19</v>
      </c>
      <c r="G29" s="23">
        <f>G28/G24</f>
        <v>1.1157781411055072E-10</v>
      </c>
    </row>
    <row r="30" spans="3:7" ht="15">
      <c r="C30" t="s">
        <v>20</v>
      </c>
      <c r="G30" s="23">
        <f>LOG(1/G29)</f>
        <v>9.952422150982871</v>
      </c>
    </row>
    <row r="31" spans="3:7" ht="15">
      <c r="C31" t="s">
        <v>21</v>
      </c>
      <c r="G31" s="23">
        <f>0.01183*(G6)+8.03</f>
        <v>8.151848999999999</v>
      </c>
    </row>
    <row r="32" spans="3:7" ht="15">
      <c r="C32" t="s">
        <v>22</v>
      </c>
      <c r="G32" s="23">
        <f>1/10^G31</f>
        <v>7.049381265458734E-09</v>
      </c>
    </row>
    <row r="33" spans="3:7" ht="15">
      <c r="C33" t="s">
        <v>23</v>
      </c>
      <c r="G33" s="23">
        <f>G32/G24^2</f>
        <v>8.25258667715704E-08</v>
      </c>
    </row>
    <row r="34" spans="3:7" ht="15">
      <c r="C34" t="s">
        <v>24</v>
      </c>
      <c r="G34" s="23">
        <f>LOG(1/G33)</f>
        <v>7.083409905566167</v>
      </c>
    </row>
    <row r="35" spans="3:7" ht="15">
      <c r="C35" t="s">
        <v>25</v>
      </c>
      <c r="G35" s="23">
        <f>LOG(1/G25)</f>
        <v>2.3151546383555877</v>
      </c>
    </row>
    <row r="36" spans="3:7" ht="15">
      <c r="C36" t="s">
        <v>26</v>
      </c>
      <c r="G36" s="23">
        <f>G30+G35-G34-LOG(2*G26)-LOG(G23)</f>
        <v>8.674269094090334</v>
      </c>
    </row>
    <row r="39" spans="3:6" ht="18">
      <c r="C39" s="5" t="s">
        <v>31</v>
      </c>
      <c r="D39" s="4"/>
      <c r="E39" s="4"/>
      <c r="F39" s="4"/>
    </row>
    <row r="40" ht="18">
      <c r="C40" s="6" t="s">
        <v>37</v>
      </c>
    </row>
  </sheetData>
  <sheetProtection/>
  <mergeCells count="5">
    <mergeCell ref="C1:J1"/>
    <mergeCell ref="C2:J2"/>
    <mergeCell ref="C3:J3"/>
    <mergeCell ref="C16:J16"/>
    <mergeCell ref="C17:J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C1:L40"/>
  <sheetViews>
    <sheetView zoomScalePageLayoutView="0" workbookViewId="0" topLeftCell="A10">
      <selection activeCell="G26" sqref="G26"/>
    </sheetView>
  </sheetViews>
  <sheetFormatPr defaultColWidth="8.88671875" defaultRowHeight="15"/>
  <sheetData>
    <row r="1" spans="3:11" ht="28.5">
      <c r="C1" s="35" t="s">
        <v>59</v>
      </c>
      <c r="D1" s="35"/>
      <c r="E1" s="35"/>
      <c r="F1" s="35"/>
      <c r="G1" s="35"/>
      <c r="H1" s="35"/>
      <c r="I1" s="35"/>
      <c r="J1" s="35"/>
      <c r="K1" s="1"/>
    </row>
    <row r="2" spans="3:11" ht="20.25">
      <c r="C2" s="33" t="s">
        <v>0</v>
      </c>
      <c r="D2" s="33"/>
      <c r="E2" s="33"/>
      <c r="F2" s="33"/>
      <c r="G2" s="33"/>
      <c r="H2" s="33"/>
      <c r="I2" s="33"/>
      <c r="J2" s="33"/>
      <c r="K2" s="1"/>
    </row>
    <row r="3" spans="3:11" ht="15.75">
      <c r="C3" s="34" t="s">
        <v>1</v>
      </c>
      <c r="D3" s="34"/>
      <c r="E3" s="34"/>
      <c r="F3" s="34"/>
      <c r="G3" s="34"/>
      <c r="H3" s="34"/>
      <c r="I3" s="34"/>
      <c r="J3" s="34"/>
      <c r="K3" s="1"/>
    </row>
    <row r="4" spans="3:7" ht="15.75">
      <c r="C4" s="3" t="s">
        <v>44</v>
      </c>
      <c r="D4" s="3"/>
      <c r="E4" s="3"/>
      <c r="F4" s="3"/>
      <c r="G4" s="24">
        <v>134</v>
      </c>
    </row>
    <row r="5" spans="3:7" ht="15.75">
      <c r="C5" s="3" t="s">
        <v>3</v>
      </c>
      <c r="D5" s="3"/>
      <c r="E5" s="3"/>
      <c r="F5" s="3"/>
      <c r="G5" s="24">
        <v>7.3</v>
      </c>
    </row>
    <row r="6" spans="3:7" ht="15.75">
      <c r="C6" s="3" t="s">
        <v>47</v>
      </c>
      <c r="D6" s="3"/>
      <c r="E6" s="3"/>
      <c r="F6" s="3"/>
      <c r="G6" s="24">
        <v>10.5</v>
      </c>
    </row>
    <row r="7" spans="3:7" ht="15.75">
      <c r="C7" s="3" t="s">
        <v>45</v>
      </c>
      <c r="D7" s="3"/>
      <c r="E7" s="3"/>
      <c r="F7" s="3"/>
      <c r="G7" s="24">
        <v>54</v>
      </c>
    </row>
    <row r="8" spans="3:7" ht="15.75">
      <c r="C8" s="3" t="s">
        <v>46</v>
      </c>
      <c r="D8" s="3"/>
      <c r="E8" s="3"/>
      <c r="F8" s="3"/>
      <c r="G8" s="24">
        <v>2740</v>
      </c>
    </row>
    <row r="9" spans="3:7" ht="15.75">
      <c r="C9" s="3" t="s">
        <v>7</v>
      </c>
      <c r="G9" s="23"/>
    </row>
    <row r="10" ht="15.75" thickBot="1">
      <c r="G10" s="23"/>
    </row>
    <row r="11" spans="3:7" ht="16.5" thickBot="1">
      <c r="C11" s="17" t="s">
        <v>8</v>
      </c>
      <c r="D11" s="16"/>
      <c r="E11" s="16"/>
      <c r="F11" s="16"/>
      <c r="G11" s="28">
        <f>G5-G36</f>
        <v>-1.3836403876566203</v>
      </c>
    </row>
    <row r="12" ht="15.75" thickBot="1">
      <c r="G12" s="23"/>
    </row>
    <row r="13" spans="3:7" ht="16.5" thickBot="1">
      <c r="C13" s="17" t="s">
        <v>9</v>
      </c>
      <c r="D13" s="18"/>
      <c r="E13" s="18"/>
      <c r="F13" s="18"/>
      <c r="G13" s="28">
        <f>ROUND((G36*2)-G5,1)</f>
        <v>10.1</v>
      </c>
    </row>
    <row r="16" spans="3:12" ht="15">
      <c r="C16" s="36" t="s">
        <v>27</v>
      </c>
      <c r="D16" s="36"/>
      <c r="E16" s="36"/>
      <c r="F16" s="36"/>
      <c r="G16" s="36"/>
      <c r="H16" s="36"/>
      <c r="I16" s="36"/>
      <c r="J16" s="36"/>
      <c r="K16" s="19"/>
      <c r="L16" s="19"/>
    </row>
    <row r="17" spans="3:12" ht="15">
      <c r="C17" s="36" t="s">
        <v>10</v>
      </c>
      <c r="D17" s="36"/>
      <c r="E17" s="36"/>
      <c r="F17" s="36"/>
      <c r="G17" s="36"/>
      <c r="H17" s="36"/>
      <c r="I17" s="36"/>
      <c r="J17" s="36"/>
      <c r="K17" s="19"/>
      <c r="L17" s="19"/>
    </row>
    <row r="20" ht="15.75">
      <c r="E20" s="3" t="s">
        <v>11</v>
      </c>
    </row>
    <row r="22" spans="3:7" ht="15">
      <c r="C22" t="s">
        <v>12</v>
      </c>
      <c r="G22" s="23">
        <f>(0.000025)*G8</f>
        <v>0.0685</v>
      </c>
    </row>
    <row r="23" spans="3:7" ht="15">
      <c r="C23" t="s">
        <v>13</v>
      </c>
      <c r="G23" s="23">
        <f>10^(-(1820000)*((78.3)*(273+G6))^-1.5*(G22^0.5/(1+G22^0.5)-0.3*G22))</f>
        <v>0.7891465421921615</v>
      </c>
    </row>
    <row r="24" spans="3:7" ht="15">
      <c r="C24" t="s">
        <v>14</v>
      </c>
      <c r="G24" s="23">
        <f>10^(-(1820000)*((78.3)*(273+G6))^-1.5*2^2*(G22^0.5/(1+G22^0.5)-0.3*G22))</f>
        <v>0.3878203836296944</v>
      </c>
    </row>
    <row r="25" spans="3:7" ht="15">
      <c r="C25" t="s">
        <v>15</v>
      </c>
      <c r="G25" s="23">
        <f>G4*(20/50)*0.001/40</f>
        <v>0.00134</v>
      </c>
    </row>
    <row r="26" spans="3:7" ht="15">
      <c r="C26" t="s">
        <v>16</v>
      </c>
      <c r="G26" s="23">
        <f>G7*0.001/100</f>
        <v>0.00054</v>
      </c>
    </row>
    <row r="27" spans="3:7" ht="15">
      <c r="C27" t="s">
        <v>17</v>
      </c>
      <c r="G27" s="23">
        <f>(2902.39/(273+G6))+0.02379*(273+G6)-6.498</f>
        <v>10.484172231040564</v>
      </c>
    </row>
    <row r="28" spans="3:7" ht="15">
      <c r="C28" t="s">
        <v>18</v>
      </c>
      <c r="G28" s="23">
        <f>1/10^G27</f>
        <v>3.279652039854462E-11</v>
      </c>
    </row>
    <row r="29" spans="3:7" ht="15">
      <c r="C29" t="s">
        <v>19</v>
      </c>
      <c r="G29" s="23">
        <f>G28/G24</f>
        <v>8.456626258680611E-11</v>
      </c>
    </row>
    <row r="30" spans="3:7" ht="15">
      <c r="C30" t="s">
        <v>20</v>
      </c>
      <c r="G30" s="23">
        <f>LOG(1/G29)</f>
        <v>10.072802862666315</v>
      </c>
    </row>
    <row r="31" spans="3:7" ht="15">
      <c r="C31" t="s">
        <v>21</v>
      </c>
      <c r="G31" s="23">
        <f>0.01183*(G6)+8.03</f>
        <v>8.154214999999999</v>
      </c>
    </row>
    <row r="32" spans="3:7" ht="15">
      <c r="C32" t="s">
        <v>22</v>
      </c>
      <c r="G32" s="23">
        <f>1/10^G31</f>
        <v>7.011081248517943E-09</v>
      </c>
    </row>
    <row r="33" spans="3:7" ht="15">
      <c r="C33" t="s">
        <v>23</v>
      </c>
      <c r="G33" s="23">
        <f>G32/G24^2</f>
        <v>4.6614790503112176E-08</v>
      </c>
    </row>
    <row r="34" spans="3:7" ht="15">
      <c r="C34" t="s">
        <v>24</v>
      </c>
      <c r="G34" s="23">
        <f>LOG(1/G33)</f>
        <v>7.3314762632515</v>
      </c>
    </row>
    <row r="35" spans="3:7" ht="15">
      <c r="C35" t="s">
        <v>25</v>
      </c>
      <c r="G35" s="23">
        <f>LOG(1/G25)</f>
        <v>2.8728952016351923</v>
      </c>
    </row>
    <row r="36" spans="3:7" ht="15">
      <c r="C36" t="s">
        <v>26</v>
      </c>
      <c r="G36" s="23">
        <f>G30+G35-G34-LOG(2*G26)-LOG(G23)</f>
        <v>8.68364038765662</v>
      </c>
    </row>
    <row r="39" spans="3:6" ht="18">
      <c r="C39" s="5" t="s">
        <v>31</v>
      </c>
      <c r="D39" s="4"/>
      <c r="E39" s="4"/>
      <c r="F39" s="4"/>
    </row>
    <row r="40" ht="18">
      <c r="C40" s="6" t="s">
        <v>38</v>
      </c>
    </row>
  </sheetData>
  <sheetProtection/>
  <mergeCells count="5">
    <mergeCell ref="C1:J1"/>
    <mergeCell ref="C2:J2"/>
    <mergeCell ref="C3:J3"/>
    <mergeCell ref="C16:J16"/>
    <mergeCell ref="C17:J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C1:L41"/>
  <sheetViews>
    <sheetView zoomScalePageLayoutView="0" workbookViewId="0" topLeftCell="A25">
      <selection activeCell="A4" sqref="A4:IV8"/>
    </sheetView>
  </sheetViews>
  <sheetFormatPr defaultColWidth="8.88671875" defaultRowHeight="15"/>
  <sheetData>
    <row r="1" spans="3:11" ht="28.5">
      <c r="C1" s="35" t="s">
        <v>63</v>
      </c>
      <c r="D1" s="35"/>
      <c r="E1" s="35"/>
      <c r="F1" s="35"/>
      <c r="G1" s="35"/>
      <c r="H1" s="35"/>
      <c r="I1" s="35"/>
      <c r="J1" s="35"/>
      <c r="K1" s="1"/>
    </row>
    <row r="2" spans="3:11" ht="20.25">
      <c r="C2" s="33" t="s">
        <v>0</v>
      </c>
      <c r="D2" s="33"/>
      <c r="E2" s="33"/>
      <c r="F2" s="33"/>
      <c r="G2" s="33"/>
      <c r="H2" s="33"/>
      <c r="I2" s="33"/>
      <c r="J2" s="33"/>
      <c r="K2" s="1"/>
    </row>
    <row r="3" spans="3:11" ht="15.75">
      <c r="C3" s="34" t="s">
        <v>1</v>
      </c>
      <c r="D3" s="34"/>
      <c r="E3" s="34"/>
      <c r="F3" s="34"/>
      <c r="G3" s="34"/>
      <c r="H3" s="34"/>
      <c r="I3" s="34"/>
      <c r="J3" s="34"/>
      <c r="K3" s="1"/>
    </row>
    <row r="4" spans="3:7" ht="15.75">
      <c r="C4" s="3" t="s">
        <v>44</v>
      </c>
      <c r="D4" s="3"/>
      <c r="E4" s="3"/>
      <c r="F4" s="3"/>
      <c r="G4" s="24">
        <v>71.12</v>
      </c>
    </row>
    <row r="5" spans="3:7" ht="15.75">
      <c r="C5" s="3" t="s">
        <v>3</v>
      </c>
      <c r="D5" s="3"/>
      <c r="E5" s="3"/>
      <c r="F5" s="3"/>
      <c r="G5" s="24">
        <v>7.83</v>
      </c>
    </row>
    <row r="6" spans="3:7" ht="15.75">
      <c r="C6" s="3" t="s">
        <v>47</v>
      </c>
      <c r="D6" s="3"/>
      <c r="E6" s="3"/>
      <c r="F6" s="3"/>
      <c r="G6" s="24">
        <v>22.76</v>
      </c>
    </row>
    <row r="7" spans="3:7" ht="15.75">
      <c r="C7" s="3" t="s">
        <v>45</v>
      </c>
      <c r="D7" s="3"/>
      <c r="E7" s="3"/>
      <c r="F7" s="3"/>
      <c r="G7" s="24">
        <v>130</v>
      </c>
    </row>
    <row r="8" spans="3:7" ht="15.75">
      <c r="C8" s="3" t="s">
        <v>46</v>
      </c>
      <c r="D8" s="3"/>
      <c r="E8" s="3"/>
      <c r="F8" s="3"/>
      <c r="G8" s="24">
        <v>9723</v>
      </c>
    </row>
    <row r="9" spans="3:7" ht="15.75">
      <c r="C9" s="3" t="s">
        <v>7</v>
      </c>
      <c r="G9" s="23"/>
    </row>
    <row r="10" ht="15.75" thickBot="1">
      <c r="G10" s="23"/>
    </row>
    <row r="11" spans="3:7" ht="16.5" thickBot="1">
      <c r="C11" s="17" t="s">
        <v>8</v>
      </c>
      <c r="D11" s="16"/>
      <c r="E11" s="16"/>
      <c r="F11" s="16"/>
      <c r="G11" s="28">
        <f>G5-G36</f>
        <v>-0.6196346668489898</v>
      </c>
    </row>
    <row r="12" ht="15.75" thickBot="1">
      <c r="G12" s="23"/>
    </row>
    <row r="13" spans="3:7" ht="16.5" thickBot="1">
      <c r="C13" s="17" t="s">
        <v>9</v>
      </c>
      <c r="D13" s="18"/>
      <c r="E13" s="18"/>
      <c r="F13" s="18"/>
      <c r="G13" s="28">
        <f>ROUND((G36*2)-G5,1)</f>
        <v>9.1</v>
      </c>
    </row>
    <row r="16" spans="3:12" ht="15">
      <c r="C16" s="36" t="s">
        <v>27</v>
      </c>
      <c r="D16" s="36"/>
      <c r="E16" s="36"/>
      <c r="F16" s="36"/>
      <c r="G16" s="36"/>
      <c r="H16" s="36"/>
      <c r="I16" s="36"/>
      <c r="J16" s="36"/>
      <c r="K16" s="19"/>
      <c r="L16" s="19"/>
    </row>
    <row r="17" spans="3:12" ht="15">
      <c r="C17" s="36" t="s">
        <v>10</v>
      </c>
      <c r="D17" s="36"/>
      <c r="E17" s="36"/>
      <c r="F17" s="36"/>
      <c r="G17" s="36"/>
      <c r="H17" s="36"/>
      <c r="I17" s="36"/>
      <c r="J17" s="36"/>
      <c r="K17" s="19"/>
      <c r="L17" s="19"/>
    </row>
    <row r="20" ht="15.75">
      <c r="E20" s="3" t="s">
        <v>11</v>
      </c>
    </row>
    <row r="22" spans="3:7" ht="15">
      <c r="C22" t="s">
        <v>12</v>
      </c>
      <c r="G22" s="23">
        <f>(0.000025)*G8</f>
        <v>0.243075</v>
      </c>
    </row>
    <row r="23" spans="3:7" ht="15">
      <c r="C23" t="s">
        <v>13</v>
      </c>
      <c r="G23" s="23">
        <f>10^(-(1820000)*((78.3)*(273+G6))^-1.5*(G22^0.5/(1+G22^0.5)-0.3*G22))</f>
        <v>0.7364133319331508</v>
      </c>
    </row>
    <row r="24" spans="3:7" ht="15">
      <c r="C24" t="s">
        <v>14</v>
      </c>
      <c r="G24" s="23">
        <f>10^(-(1820000)*((78.3)*(273+G6))^-1.5*2^2*(G22^0.5/(1+G22^0.5)-0.3*G22))</f>
        <v>0.2940942742449788</v>
      </c>
    </row>
    <row r="25" spans="3:7" ht="15">
      <c r="C25" t="s">
        <v>15</v>
      </c>
      <c r="G25" s="23">
        <f>G4*(20/50)*0.001/40</f>
        <v>0.0007112000000000002</v>
      </c>
    </row>
    <row r="26" spans="3:7" ht="15">
      <c r="C26" t="s">
        <v>16</v>
      </c>
      <c r="G26" s="23">
        <f>G7*0.001/100</f>
        <v>0.0013</v>
      </c>
    </row>
    <row r="27" spans="3:7" ht="15">
      <c r="C27" t="s">
        <v>17</v>
      </c>
      <c r="G27" s="23">
        <f>(2902.39/(273+G6))+0.02379*(273+G6)-6.498</f>
        <v>10.351458774357585</v>
      </c>
    </row>
    <row r="28" spans="3:7" ht="15">
      <c r="C28" t="s">
        <v>18</v>
      </c>
      <c r="G28" s="23">
        <f>1/10^G27</f>
        <v>4.451857204136394E-11</v>
      </c>
    </row>
    <row r="29" spans="3:7" ht="15">
      <c r="C29" t="s">
        <v>19</v>
      </c>
      <c r="G29" s="23">
        <f>G28/G24</f>
        <v>1.5137517435745867E-10</v>
      </c>
    </row>
    <row r="30" spans="3:7" ht="15">
      <c r="C30" t="s">
        <v>20</v>
      </c>
      <c r="G30" s="23">
        <f>LOG(1/G29)</f>
        <v>9.819945343618084</v>
      </c>
    </row>
    <row r="31" spans="3:7" ht="15">
      <c r="C31" t="s">
        <v>21</v>
      </c>
      <c r="G31" s="23">
        <f>0.01183*(G6)+8.03</f>
        <v>8.2992508</v>
      </c>
    </row>
    <row r="32" spans="3:7" ht="15">
      <c r="C32" t="s">
        <v>22</v>
      </c>
      <c r="G32" s="23">
        <f>1/10^G31</f>
        <v>5.020525762812806E-09</v>
      </c>
    </row>
    <row r="33" spans="3:7" ht="15">
      <c r="C33" t="s">
        <v>23</v>
      </c>
      <c r="G33" s="23">
        <f>G32/G24^2</f>
        <v>5.804650308030057E-08</v>
      </c>
    </row>
    <row r="34" spans="3:7" ht="15">
      <c r="C34" t="s">
        <v>24</v>
      </c>
      <c r="G34" s="23">
        <f>LOG(1/G33)</f>
        <v>7.236223938520994</v>
      </c>
    </row>
    <row r="35" spans="3:7" ht="15">
      <c r="C35" t="s">
        <v>25</v>
      </c>
      <c r="G35" s="23">
        <f>LOG(1/G25)</f>
        <v>3.1480082520378425</v>
      </c>
    </row>
    <row r="36" spans="3:7" ht="15">
      <c r="C36" t="s">
        <v>26</v>
      </c>
      <c r="G36" s="23">
        <f>G30+G35-G34-LOG(2*G26)-LOG(G23)</f>
        <v>8.44963466684899</v>
      </c>
    </row>
    <row r="39" ht="15">
      <c r="D39" s="1"/>
    </row>
    <row r="40" spans="3:7" ht="18">
      <c r="C40" s="5" t="s">
        <v>31</v>
      </c>
      <c r="E40" s="4"/>
      <c r="F40" s="4"/>
      <c r="G40" s="4"/>
    </row>
    <row r="41" ht="18">
      <c r="C41" s="6" t="s">
        <v>33</v>
      </c>
    </row>
  </sheetData>
  <sheetProtection/>
  <mergeCells count="5">
    <mergeCell ref="C1:J1"/>
    <mergeCell ref="C2:J2"/>
    <mergeCell ref="C3:J3"/>
    <mergeCell ref="C16:J16"/>
    <mergeCell ref="C17:J1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C1:L41"/>
  <sheetViews>
    <sheetView zoomScalePageLayoutView="0" workbookViewId="0" topLeftCell="A22">
      <selection activeCell="M15" sqref="M15"/>
    </sheetView>
  </sheetViews>
  <sheetFormatPr defaultColWidth="8.88671875" defaultRowHeight="15"/>
  <sheetData>
    <row r="1" spans="3:11" ht="28.5">
      <c r="C1" s="35" t="s">
        <v>64</v>
      </c>
      <c r="D1" s="35"/>
      <c r="E1" s="35"/>
      <c r="F1" s="35"/>
      <c r="G1" s="35"/>
      <c r="H1" s="35"/>
      <c r="I1" s="35"/>
      <c r="J1" s="35"/>
      <c r="K1" s="1"/>
    </row>
    <row r="2" spans="3:11" ht="20.25">
      <c r="C2" s="33" t="s">
        <v>0</v>
      </c>
      <c r="D2" s="33"/>
      <c r="E2" s="33"/>
      <c r="F2" s="33"/>
      <c r="G2" s="33"/>
      <c r="H2" s="33"/>
      <c r="I2" s="33"/>
      <c r="J2" s="33"/>
      <c r="K2" s="1"/>
    </row>
    <row r="3" spans="3:11" ht="15.75">
      <c r="C3" s="34" t="s">
        <v>1</v>
      </c>
      <c r="D3" s="34"/>
      <c r="E3" s="34"/>
      <c r="F3" s="34"/>
      <c r="G3" s="34"/>
      <c r="H3" s="34"/>
      <c r="I3" s="34"/>
      <c r="J3" s="34"/>
      <c r="K3" s="1"/>
    </row>
    <row r="4" spans="3:7" ht="15.75">
      <c r="C4" s="3" t="s">
        <v>44</v>
      </c>
      <c r="D4" s="3"/>
      <c r="E4" s="3"/>
      <c r="F4" s="3"/>
      <c r="G4" s="24">
        <v>2.4</v>
      </c>
    </row>
    <row r="5" spans="3:7" ht="15.75">
      <c r="C5" s="3" t="s">
        <v>3</v>
      </c>
      <c r="D5" s="3"/>
      <c r="E5" s="3"/>
      <c r="F5" s="3"/>
      <c r="G5" s="24">
        <v>8.16</v>
      </c>
    </row>
    <row r="6" spans="3:7" ht="15.75">
      <c r="C6" s="3" t="s">
        <v>47</v>
      </c>
      <c r="D6" s="3"/>
      <c r="E6" s="3"/>
      <c r="F6" s="3"/>
      <c r="G6" s="24">
        <v>23.1</v>
      </c>
    </row>
    <row r="7" spans="3:7" ht="15.75">
      <c r="C7" s="3" t="s">
        <v>45</v>
      </c>
      <c r="D7" s="3"/>
      <c r="E7" s="3"/>
      <c r="F7" s="3"/>
      <c r="G7" s="24">
        <v>10</v>
      </c>
    </row>
    <row r="8" spans="3:7" ht="15.75">
      <c r="C8" s="3" t="s">
        <v>46</v>
      </c>
      <c r="D8" s="3"/>
      <c r="E8" s="3"/>
      <c r="F8" s="3"/>
      <c r="G8" s="24">
        <v>1557</v>
      </c>
    </row>
    <row r="9" spans="3:7" ht="15.75">
      <c r="C9" s="3" t="s">
        <v>7</v>
      </c>
      <c r="G9" s="23"/>
    </row>
    <row r="10" ht="15.75" thickBot="1">
      <c r="G10" s="23"/>
    </row>
    <row r="11" spans="3:7" ht="16.5" thickBot="1">
      <c r="C11" s="17" t="s">
        <v>8</v>
      </c>
      <c r="D11" s="16"/>
      <c r="E11" s="16"/>
      <c r="F11" s="16"/>
      <c r="G11" s="28">
        <f>G5-G36</f>
        <v>-2.598433896825748</v>
      </c>
    </row>
    <row r="12" ht="15.75" thickBot="1">
      <c r="G12" s="23"/>
    </row>
    <row r="13" spans="3:7" ht="16.5" thickBot="1">
      <c r="C13" s="17" t="s">
        <v>9</v>
      </c>
      <c r="D13" s="18"/>
      <c r="E13" s="18"/>
      <c r="F13" s="18"/>
      <c r="G13" s="28">
        <f>ROUND((G36*2)-G5,1)</f>
        <v>13.4</v>
      </c>
    </row>
    <row r="16" spans="3:12" ht="15">
      <c r="C16" s="36" t="s">
        <v>27</v>
      </c>
      <c r="D16" s="36"/>
      <c r="E16" s="36"/>
      <c r="F16" s="36"/>
      <c r="G16" s="36"/>
      <c r="H16" s="36"/>
      <c r="I16" s="36"/>
      <c r="J16" s="36"/>
      <c r="K16" s="19"/>
      <c r="L16" s="19"/>
    </row>
    <row r="17" spans="3:12" ht="15">
      <c r="C17" s="36" t="s">
        <v>10</v>
      </c>
      <c r="D17" s="36"/>
      <c r="E17" s="36"/>
      <c r="F17" s="36"/>
      <c r="G17" s="36"/>
      <c r="H17" s="36"/>
      <c r="I17" s="36"/>
      <c r="J17" s="36"/>
      <c r="K17" s="19"/>
      <c r="L17" s="19"/>
    </row>
    <row r="20" ht="15.75">
      <c r="E20" s="3" t="s">
        <v>11</v>
      </c>
    </row>
    <row r="22" spans="3:7" ht="15">
      <c r="C22" t="s">
        <v>12</v>
      </c>
      <c r="G22" s="23">
        <f>(0.000025)*G8</f>
        <v>0.038925</v>
      </c>
    </row>
    <row r="23" spans="3:7" ht="15">
      <c r="C23" t="s">
        <v>13</v>
      </c>
      <c r="G23" s="23">
        <f>10^(-(1820000)*((78.3)*(273+G6))^-1.5*(G22^0.5/(1+G22^0.5)-0.3*G22))</f>
        <v>0.833808265833414</v>
      </c>
    </row>
    <row r="24" spans="3:7" ht="15">
      <c r="C24" t="s">
        <v>14</v>
      </c>
      <c r="G24" s="23">
        <f>10^(-(1820000)*((78.3)*(273+G6))^-1.5*2^2*(G22^0.5/(1+G22^0.5)-0.3*G22))</f>
        <v>0.4833534074011137</v>
      </c>
    </row>
    <row r="25" spans="3:7" ht="15">
      <c r="C25" t="s">
        <v>15</v>
      </c>
      <c r="G25" s="23">
        <f>G4*(20/50)*0.001/40</f>
        <v>2.4E-05</v>
      </c>
    </row>
    <row r="26" spans="3:7" ht="15">
      <c r="C26" t="s">
        <v>16</v>
      </c>
      <c r="G26" s="23">
        <f>G7*0.001/100</f>
        <v>0.0001</v>
      </c>
    </row>
    <row r="27" spans="3:7" ht="15">
      <c r="C27" t="s">
        <v>17</v>
      </c>
      <c r="G27" s="23">
        <f>(2902.39/(273+G6))+0.02379*(273+G6)-6.498</f>
        <v>10.34827911482607</v>
      </c>
    </row>
    <row r="28" spans="3:7" ht="15">
      <c r="C28" t="s">
        <v>18</v>
      </c>
      <c r="G28" s="23">
        <f>1/10^G27</f>
        <v>4.4845708037214826E-11</v>
      </c>
    </row>
    <row r="29" spans="3:7" ht="15">
      <c r="C29" t="s">
        <v>19</v>
      </c>
      <c r="G29" s="23">
        <f>G28/G24</f>
        <v>9.278037011953729E-11</v>
      </c>
    </row>
    <row r="30" spans="3:7" ht="15">
      <c r="C30" t="s">
        <v>20</v>
      </c>
      <c r="G30" s="23">
        <f>LOG(1/G29)</f>
        <v>10.032543899325859</v>
      </c>
    </row>
    <row r="31" spans="3:7" ht="15">
      <c r="C31" t="s">
        <v>21</v>
      </c>
      <c r="G31" s="23">
        <f>0.01183*(G6)+8.03</f>
        <v>8.303272999999999</v>
      </c>
    </row>
    <row r="32" spans="3:7" ht="15">
      <c r="C32" t="s">
        <v>22</v>
      </c>
      <c r="G32" s="23">
        <f>1/10^G31</f>
        <v>4.974243029136902E-09</v>
      </c>
    </row>
    <row r="33" spans="3:7" ht="15">
      <c r="C33" t="s">
        <v>23</v>
      </c>
      <c r="G33" s="23">
        <f>G32/G24^2</f>
        <v>2.1291067215018268E-08</v>
      </c>
    </row>
    <row r="34" spans="3:7" ht="15">
      <c r="C34" t="s">
        <v>24</v>
      </c>
      <c r="G34" s="23">
        <f>LOG(1/G33)</f>
        <v>7.671802568999576</v>
      </c>
    </row>
    <row r="35" spans="3:7" ht="15">
      <c r="C35" t="s">
        <v>25</v>
      </c>
      <c r="G35" s="23">
        <f>LOG(1/G25)</f>
        <v>4.619788758288394</v>
      </c>
    </row>
    <row r="36" spans="3:7" ht="15">
      <c r="C36" t="s">
        <v>26</v>
      </c>
      <c r="G36" s="23">
        <f>G30+G35-G34-LOG(2*G26)-LOG(G23)</f>
        <v>10.758433896825748</v>
      </c>
    </row>
    <row r="39" ht="15">
      <c r="D39" s="1"/>
    </row>
    <row r="40" spans="3:7" ht="18">
      <c r="C40" s="5" t="s">
        <v>31</v>
      </c>
      <c r="E40" s="4"/>
      <c r="F40" s="4"/>
      <c r="G40" s="4"/>
    </row>
    <row r="41" ht="18">
      <c r="C41" s="6" t="s">
        <v>32</v>
      </c>
    </row>
  </sheetData>
  <sheetProtection/>
  <mergeCells count="5">
    <mergeCell ref="C1:J1"/>
    <mergeCell ref="C2:J2"/>
    <mergeCell ref="C3:J3"/>
    <mergeCell ref="C16:J16"/>
    <mergeCell ref="C17:J1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C1:L41"/>
  <sheetViews>
    <sheetView zoomScalePageLayoutView="0" workbookViewId="0" topLeftCell="A4">
      <selection activeCell="L7" sqref="L7"/>
    </sheetView>
  </sheetViews>
  <sheetFormatPr defaultColWidth="8.88671875" defaultRowHeight="15"/>
  <sheetData>
    <row r="1" spans="3:11" ht="28.5">
      <c r="C1" s="35" t="s">
        <v>72</v>
      </c>
      <c r="D1" s="35"/>
      <c r="E1" s="35"/>
      <c r="F1" s="35"/>
      <c r="G1" s="35"/>
      <c r="H1" s="35"/>
      <c r="I1" s="35"/>
      <c r="J1" s="35"/>
      <c r="K1" s="1"/>
    </row>
    <row r="2" spans="3:11" ht="20.25">
      <c r="C2" s="33" t="s">
        <v>0</v>
      </c>
      <c r="D2" s="33"/>
      <c r="E2" s="33"/>
      <c r="F2" s="33"/>
      <c r="G2" s="33"/>
      <c r="H2" s="33"/>
      <c r="I2" s="33"/>
      <c r="J2" s="33"/>
      <c r="K2" s="1"/>
    </row>
    <row r="3" spans="3:11" ht="15.75">
      <c r="C3" s="34" t="s">
        <v>1</v>
      </c>
      <c r="D3" s="34"/>
      <c r="E3" s="34"/>
      <c r="F3" s="34"/>
      <c r="G3" s="34"/>
      <c r="H3" s="34"/>
      <c r="I3" s="34"/>
      <c r="J3" s="34"/>
      <c r="K3" s="1"/>
    </row>
    <row r="4" spans="3:7" ht="15.75">
      <c r="C4" s="3" t="s">
        <v>44</v>
      </c>
      <c r="D4" s="3"/>
      <c r="E4" s="3"/>
      <c r="F4" s="3"/>
      <c r="G4" s="24">
        <v>1120</v>
      </c>
    </row>
    <row r="5" spans="3:7" ht="15.75">
      <c r="C5" s="3" t="s">
        <v>3</v>
      </c>
      <c r="D5" s="3"/>
      <c r="E5" s="3"/>
      <c r="F5" s="3"/>
      <c r="G5" s="24">
        <v>7.77</v>
      </c>
    </row>
    <row r="6" spans="3:7" ht="15.75">
      <c r="C6" s="3" t="s">
        <v>47</v>
      </c>
      <c r="D6" s="3"/>
      <c r="E6" s="3"/>
      <c r="F6" s="3"/>
      <c r="G6" s="24">
        <v>13.41</v>
      </c>
    </row>
    <row r="7" spans="3:7" ht="15.75">
      <c r="C7" s="3" t="s">
        <v>45</v>
      </c>
      <c r="D7" s="3"/>
      <c r="E7" s="3"/>
      <c r="F7" s="3"/>
      <c r="G7" s="24">
        <v>116.4</v>
      </c>
    </row>
    <row r="8" spans="3:7" ht="15.75">
      <c r="C8" s="3" t="s">
        <v>46</v>
      </c>
      <c r="D8" s="3"/>
      <c r="E8" s="3"/>
      <c r="F8" s="3"/>
      <c r="G8" s="24">
        <v>9610</v>
      </c>
    </row>
    <row r="9" spans="3:7" ht="15.75">
      <c r="C9" s="3" t="s">
        <v>7</v>
      </c>
      <c r="G9" s="23"/>
    </row>
    <row r="10" ht="15.75" thickBot="1">
      <c r="G10" s="23"/>
    </row>
    <row r="11" spans="3:7" ht="16.5" thickBot="1">
      <c r="C11" s="17" t="s">
        <v>8</v>
      </c>
      <c r="D11" s="16"/>
      <c r="E11" s="16"/>
      <c r="F11" s="16"/>
      <c r="G11" s="28">
        <f>G5-G36</f>
        <v>0.22947097349718426</v>
      </c>
    </row>
    <row r="12" ht="15.75" thickBot="1">
      <c r="G12" s="23"/>
    </row>
    <row r="13" spans="3:7" ht="16.5" thickBot="1">
      <c r="C13" s="17" t="s">
        <v>9</v>
      </c>
      <c r="D13" s="18"/>
      <c r="E13" s="18"/>
      <c r="F13" s="18"/>
      <c r="G13" s="28">
        <f>ROUND((G36*2)-G5,1)</f>
        <v>7.3</v>
      </c>
    </row>
    <row r="16" spans="3:12" ht="15">
      <c r="C16" s="36" t="s">
        <v>27</v>
      </c>
      <c r="D16" s="36"/>
      <c r="E16" s="36"/>
      <c r="F16" s="36"/>
      <c r="G16" s="36"/>
      <c r="H16" s="36"/>
      <c r="I16" s="36"/>
      <c r="J16" s="36"/>
      <c r="K16" s="19"/>
      <c r="L16" s="19"/>
    </row>
    <row r="17" spans="3:12" ht="15">
      <c r="C17" s="36" t="s">
        <v>10</v>
      </c>
      <c r="D17" s="36"/>
      <c r="E17" s="36"/>
      <c r="F17" s="36"/>
      <c r="G17" s="36"/>
      <c r="H17" s="36"/>
      <c r="I17" s="36"/>
      <c r="J17" s="36"/>
      <c r="K17" s="19"/>
      <c r="L17" s="19"/>
    </row>
    <row r="20" ht="15.75">
      <c r="E20" s="3" t="s">
        <v>11</v>
      </c>
    </row>
    <row r="22" spans="3:7" ht="15">
      <c r="C22" t="s">
        <v>12</v>
      </c>
      <c r="G22" s="23">
        <f>(0.000025)*G8</f>
        <v>0.24025000000000002</v>
      </c>
    </row>
    <row r="23" spans="3:7" ht="15">
      <c r="C23" t="s">
        <v>13</v>
      </c>
      <c r="G23" s="23">
        <f>10^(-(1820000)*((78.3)*(273+G6))^-1.5*(G22^0.5/(1+G22^0.5)-0.3*G22))</f>
        <v>0.7257760089762015</v>
      </c>
    </row>
    <row r="24" spans="3:7" ht="15">
      <c r="C24" t="s">
        <v>14</v>
      </c>
      <c r="G24" s="23">
        <f>10^(-(1820000)*((78.3)*(273+G6))^-1.5*2^2*(G22^0.5/(1+G22^0.5)-0.3*G22))</f>
        <v>0.27746642131957816</v>
      </c>
    </row>
    <row r="25" spans="3:7" ht="15">
      <c r="C25" t="s">
        <v>15</v>
      </c>
      <c r="G25" s="23">
        <f>G4*(20/50)*0.001/40</f>
        <v>0.0112</v>
      </c>
    </row>
    <row r="26" spans="3:7" ht="15">
      <c r="C26" t="s">
        <v>16</v>
      </c>
      <c r="G26" s="23">
        <f>G7*0.001/100</f>
        <v>0.001164</v>
      </c>
    </row>
    <row r="27" spans="3:7" ht="15">
      <c r="C27" t="s">
        <v>17</v>
      </c>
      <c r="G27" s="23">
        <f>(2902.39/(273+G6))+0.02379*(273+G6)-6.498</f>
        <v>10.449383366149924</v>
      </c>
    </row>
    <row r="28" spans="3:7" ht="15">
      <c r="C28" t="s">
        <v>18</v>
      </c>
      <c r="G28" s="23">
        <f>1/10^G27</f>
        <v>3.55317529519913E-11</v>
      </c>
    </row>
    <row r="29" spans="3:7" ht="15">
      <c r="C29" t="s">
        <v>19</v>
      </c>
      <c r="G29" s="23">
        <f>G28/G24</f>
        <v>1.2805784852454924E-10</v>
      </c>
    </row>
    <row r="30" spans="3:7" ht="15">
      <c r="C30" t="s">
        <v>20</v>
      </c>
      <c r="G30" s="23">
        <f>LOG(1/G29)</f>
        <v>9.892593798949187</v>
      </c>
    </row>
    <row r="31" spans="3:7" ht="15">
      <c r="C31" t="s">
        <v>21</v>
      </c>
      <c r="G31" s="23">
        <f>0.01183*(G6)+8.03</f>
        <v>8.1886403</v>
      </c>
    </row>
    <row r="32" spans="3:7" ht="15">
      <c r="C32" t="s">
        <v>22</v>
      </c>
      <c r="G32" s="23">
        <f>1/10^G31</f>
        <v>6.476788270818706E-09</v>
      </c>
    </row>
    <row r="33" spans="3:7" ht="15">
      <c r="C33" t="s">
        <v>23</v>
      </c>
      <c r="G33" s="23">
        <f>G32/G24^2</f>
        <v>8.412766487431464E-08</v>
      </c>
    </row>
    <row r="34" spans="3:7" ht="15">
      <c r="C34" t="s">
        <v>24</v>
      </c>
      <c r="G34" s="23">
        <f>LOG(1/G33)</f>
        <v>7.075061165598524</v>
      </c>
    </row>
    <row r="35" spans="3:7" ht="15">
      <c r="C35" t="s">
        <v>25</v>
      </c>
      <c r="G35" s="23">
        <f>LOG(1/G25)</f>
        <v>1.9507819773298185</v>
      </c>
    </row>
    <row r="36" spans="3:7" ht="15">
      <c r="C36" t="s">
        <v>26</v>
      </c>
      <c r="G36" s="23">
        <f>G30+G35-G34-LOG(2*G26)-LOG(G23)</f>
        <v>7.540529026502815</v>
      </c>
    </row>
    <row r="39" ht="15">
      <c r="D39" s="1"/>
    </row>
    <row r="40" spans="3:7" ht="18">
      <c r="C40" s="5" t="s">
        <v>31</v>
      </c>
      <c r="E40" s="4"/>
      <c r="F40" s="4"/>
      <c r="G40" s="4"/>
    </row>
    <row r="41" ht="18">
      <c r="C41" s="6" t="s">
        <v>42</v>
      </c>
    </row>
  </sheetData>
  <sheetProtection/>
  <mergeCells count="5">
    <mergeCell ref="C1:J1"/>
    <mergeCell ref="C2:J2"/>
    <mergeCell ref="C3:J3"/>
    <mergeCell ref="C16:J16"/>
    <mergeCell ref="C17:J1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C1:L41"/>
  <sheetViews>
    <sheetView tabSelected="1" zoomScalePageLayoutView="0" workbookViewId="0" topLeftCell="A1">
      <selection activeCell="E30" sqref="E30"/>
    </sheetView>
  </sheetViews>
  <sheetFormatPr defaultColWidth="8.88671875" defaultRowHeight="15"/>
  <sheetData>
    <row r="1" spans="3:11" ht="28.5">
      <c r="C1" s="35" t="s">
        <v>65</v>
      </c>
      <c r="D1" s="35"/>
      <c r="E1" s="35"/>
      <c r="F1" s="35"/>
      <c r="G1" s="35"/>
      <c r="H1" s="35"/>
      <c r="I1" s="35"/>
      <c r="J1" s="35"/>
      <c r="K1" s="1"/>
    </row>
    <row r="2" spans="3:11" ht="20.25">
      <c r="C2" s="33" t="s">
        <v>0</v>
      </c>
      <c r="D2" s="33"/>
      <c r="E2" s="33"/>
      <c r="F2" s="33"/>
      <c r="G2" s="33"/>
      <c r="H2" s="33"/>
      <c r="I2" s="33"/>
      <c r="J2" s="33"/>
      <c r="K2" s="1"/>
    </row>
    <row r="3" spans="3:11" ht="15.75">
      <c r="C3" s="34" t="s">
        <v>1</v>
      </c>
      <c r="D3" s="34"/>
      <c r="E3" s="34"/>
      <c r="F3" s="34"/>
      <c r="G3" s="34"/>
      <c r="H3" s="34"/>
      <c r="I3" s="34"/>
      <c r="J3" s="34"/>
      <c r="K3" s="1"/>
    </row>
    <row r="4" spans="3:7" ht="15.75">
      <c r="C4" s="3" t="s">
        <v>44</v>
      </c>
      <c r="D4" s="3"/>
      <c r="E4" s="3"/>
      <c r="F4" s="3"/>
      <c r="G4" s="24">
        <v>1407.2</v>
      </c>
    </row>
    <row r="5" spans="3:7" ht="15.75">
      <c r="C5" s="3" t="s">
        <v>3</v>
      </c>
      <c r="D5" s="3"/>
      <c r="E5" s="3"/>
      <c r="F5" s="3"/>
      <c r="G5" s="24">
        <v>4.08</v>
      </c>
    </row>
    <row r="6" spans="3:7" ht="15.75">
      <c r="C6" s="3" t="s">
        <v>47</v>
      </c>
      <c r="D6" s="3"/>
      <c r="E6" s="3"/>
      <c r="F6" s="3"/>
      <c r="G6" s="24">
        <v>15.99</v>
      </c>
    </row>
    <row r="7" spans="3:7" ht="15.75">
      <c r="C7" s="3" t="s">
        <v>45</v>
      </c>
      <c r="D7" s="3"/>
      <c r="E7" s="3"/>
      <c r="F7" s="3"/>
      <c r="G7" s="24">
        <v>0.008</v>
      </c>
    </row>
    <row r="8" spans="3:7" ht="15.75">
      <c r="C8" s="3" t="s">
        <v>46</v>
      </c>
      <c r="D8" s="3"/>
      <c r="E8" s="3"/>
      <c r="F8" s="3"/>
      <c r="G8" s="24">
        <v>12660</v>
      </c>
    </row>
    <row r="9" spans="3:7" ht="15.75">
      <c r="C9" s="3" t="s">
        <v>7</v>
      </c>
      <c r="G9" s="23"/>
    </row>
    <row r="10" ht="15.75" thickBot="1">
      <c r="G10" s="23"/>
    </row>
    <row r="11" spans="3:7" ht="16.5" thickBot="1">
      <c r="C11" s="17" t="s">
        <v>8</v>
      </c>
      <c r="D11" s="16"/>
      <c r="E11" s="16"/>
      <c r="F11" s="16"/>
      <c r="G11" s="28">
        <f>G5-G36</f>
        <v>-7.477347259311012</v>
      </c>
    </row>
    <row r="12" ht="15.75" thickBot="1">
      <c r="G12" s="23"/>
    </row>
    <row r="13" spans="3:7" ht="16.5" thickBot="1">
      <c r="C13" s="17" t="s">
        <v>9</v>
      </c>
      <c r="D13" s="18"/>
      <c r="E13" s="18"/>
      <c r="F13" s="18"/>
      <c r="G13" s="28">
        <f>ROUND((G36*2)-G5,1)</f>
        <v>19</v>
      </c>
    </row>
    <row r="16" spans="3:12" ht="15">
      <c r="C16" s="36" t="s">
        <v>27</v>
      </c>
      <c r="D16" s="36"/>
      <c r="E16" s="36"/>
      <c r="F16" s="36"/>
      <c r="G16" s="36"/>
      <c r="H16" s="36"/>
      <c r="I16" s="36"/>
      <c r="J16" s="36"/>
      <c r="K16" s="19"/>
      <c r="L16" s="19"/>
    </row>
    <row r="17" spans="3:12" ht="15">
      <c r="C17" s="36" t="s">
        <v>10</v>
      </c>
      <c r="D17" s="36"/>
      <c r="E17" s="36"/>
      <c r="F17" s="36"/>
      <c r="G17" s="36"/>
      <c r="H17" s="36"/>
      <c r="I17" s="36"/>
      <c r="J17" s="36"/>
      <c r="K17" s="19"/>
      <c r="L17" s="19"/>
    </row>
    <row r="20" ht="15.75">
      <c r="E20" s="3" t="s">
        <v>11</v>
      </c>
    </row>
    <row r="22" spans="3:7" ht="15">
      <c r="C22" t="s">
        <v>12</v>
      </c>
      <c r="G22" s="23">
        <f>(0.000025)*G8</f>
        <v>0.3165</v>
      </c>
    </row>
    <row r="23" spans="3:7" ht="15">
      <c r="C23" t="s">
        <v>13</v>
      </c>
      <c r="G23" s="23">
        <f>10^(-(1820000)*((78.3)*(273+G6))^-1.5*(G22^0.5/(1+G22^0.5)-0.3*G22))</f>
        <v>0.7215415815903032</v>
      </c>
    </row>
    <row r="24" spans="3:7" ht="15">
      <c r="C24" t="s">
        <v>14</v>
      </c>
      <c r="G24" s="23">
        <f>10^(-(1820000)*((78.3)*(273+G6))^-1.5*2^2*(G22^0.5/(1+G22^0.5)-0.3*G22))</f>
        <v>0.27104753132238507</v>
      </c>
    </row>
    <row r="25" spans="3:7" ht="15">
      <c r="C25" t="s">
        <v>15</v>
      </c>
      <c r="G25" s="23">
        <f>G4*(20/50)*0.001/40</f>
        <v>0.014072000000000001</v>
      </c>
    </row>
    <row r="26" spans="3:7" ht="15">
      <c r="C26" t="s">
        <v>16</v>
      </c>
      <c r="G26" s="23">
        <f>G7*0.001/100</f>
        <v>8E-08</v>
      </c>
    </row>
    <row r="27" spans="3:7" ht="15">
      <c r="C27" t="s">
        <v>17</v>
      </c>
      <c r="G27" s="23">
        <f>(2902.39/(273+G6))+0.02379*(273+G6)-6.498</f>
        <v>10.420291588563614</v>
      </c>
    </row>
    <row r="28" spans="3:7" ht="15">
      <c r="C28" t="s">
        <v>18</v>
      </c>
      <c r="G28" s="23">
        <f>1/10^G27</f>
        <v>3.7993421998934E-11</v>
      </c>
    </row>
    <row r="29" spans="3:7" ht="15">
      <c r="C29" t="s">
        <v>19</v>
      </c>
      <c r="G29" s="23">
        <f>G28/G24</f>
        <v>1.4017254395777715E-10</v>
      </c>
    </row>
    <row r="30" spans="3:7" ht="15">
      <c r="C30" t="s">
        <v>20</v>
      </c>
      <c r="G30" s="23">
        <f>LOG(1/G29)</f>
        <v>9.853337044681433</v>
      </c>
    </row>
    <row r="31" spans="3:7" ht="15">
      <c r="C31" t="s">
        <v>21</v>
      </c>
      <c r="G31" s="23">
        <f>0.01183*(G6)+8.03</f>
        <v>8.219161699999999</v>
      </c>
    </row>
    <row r="32" spans="3:7" ht="15">
      <c r="C32" t="s">
        <v>22</v>
      </c>
      <c r="G32" s="23">
        <f>1/10^G31</f>
        <v>6.0372380424228704E-09</v>
      </c>
    </row>
    <row r="33" spans="3:7" ht="15">
      <c r="C33" t="s">
        <v>23</v>
      </c>
      <c r="G33" s="23">
        <f>G32/G24^2</f>
        <v>8.217645223944492E-08</v>
      </c>
    </row>
    <row r="34" spans="3:7" ht="15">
      <c r="C34" t="s">
        <v>24</v>
      </c>
      <c r="G34" s="23">
        <f>LOG(1/G33)</f>
        <v>7.085252612235637</v>
      </c>
    </row>
    <row r="35" spans="3:7" ht="15">
      <c r="C35" t="s">
        <v>25</v>
      </c>
      <c r="G35" s="23">
        <f>LOG(1/G25)</f>
        <v>1.851644173550595</v>
      </c>
    </row>
    <row r="36" spans="3:7" ht="15">
      <c r="C36" t="s">
        <v>26</v>
      </c>
      <c r="G36" s="23">
        <f>G30+G35-G34-LOG(2*G26)-LOG(G23)</f>
        <v>11.557347259311012</v>
      </c>
    </row>
    <row r="39" ht="15">
      <c r="D39" s="1"/>
    </row>
    <row r="40" spans="3:8" ht="18">
      <c r="C40" s="5" t="s">
        <v>31</v>
      </c>
      <c r="D40" s="4"/>
      <c r="F40" s="4"/>
      <c r="G40" s="4"/>
      <c r="H40" s="4"/>
    </row>
    <row r="41" ht="18">
      <c r="C41" s="6" t="s">
        <v>73</v>
      </c>
    </row>
  </sheetData>
  <sheetProtection/>
  <mergeCells count="5">
    <mergeCell ref="C1:J1"/>
    <mergeCell ref="C2:J2"/>
    <mergeCell ref="C3:J3"/>
    <mergeCell ref="C16:J16"/>
    <mergeCell ref="C17:J1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C1:L41"/>
  <sheetViews>
    <sheetView zoomScalePageLayoutView="0" workbookViewId="0" topLeftCell="A1">
      <selection activeCell="C1" sqref="C1:J1"/>
    </sheetView>
  </sheetViews>
  <sheetFormatPr defaultColWidth="8.88671875" defaultRowHeight="15"/>
  <sheetData>
    <row r="1" spans="3:11" ht="28.5">
      <c r="C1" s="35" t="s">
        <v>66</v>
      </c>
      <c r="D1" s="35"/>
      <c r="E1" s="35"/>
      <c r="F1" s="35"/>
      <c r="G1" s="35"/>
      <c r="H1" s="35"/>
      <c r="I1" s="35"/>
      <c r="J1" s="35"/>
      <c r="K1" s="1"/>
    </row>
    <row r="2" spans="3:11" ht="20.25">
      <c r="C2" s="33" t="s">
        <v>0</v>
      </c>
      <c r="D2" s="33"/>
      <c r="E2" s="33"/>
      <c r="F2" s="33"/>
      <c r="G2" s="33"/>
      <c r="H2" s="33"/>
      <c r="I2" s="33"/>
      <c r="J2" s="33"/>
      <c r="K2" s="1"/>
    </row>
    <row r="3" spans="3:11" ht="15.75">
      <c r="C3" s="34" t="s">
        <v>1</v>
      </c>
      <c r="D3" s="34"/>
      <c r="E3" s="34"/>
      <c r="F3" s="34"/>
      <c r="G3" s="34"/>
      <c r="H3" s="34"/>
      <c r="I3" s="34"/>
      <c r="J3" s="34"/>
      <c r="K3" s="1"/>
    </row>
    <row r="4" spans="3:7" ht="15.75">
      <c r="C4" s="3" t="s">
        <v>44</v>
      </c>
      <c r="D4" s="3"/>
      <c r="E4" s="3"/>
      <c r="F4" s="3"/>
      <c r="G4" s="24">
        <v>76</v>
      </c>
    </row>
    <row r="5" spans="3:7" ht="15.75">
      <c r="C5" s="3" t="s">
        <v>3</v>
      </c>
      <c r="D5" s="3"/>
      <c r="E5" s="3"/>
      <c r="F5" s="3"/>
      <c r="G5" s="24">
        <v>7.8</v>
      </c>
    </row>
    <row r="6" spans="3:7" ht="15.75">
      <c r="C6" s="3" t="s">
        <v>47</v>
      </c>
      <c r="D6" s="3"/>
      <c r="E6" s="3"/>
      <c r="F6" s="3"/>
      <c r="G6" s="24">
        <v>24.88</v>
      </c>
    </row>
    <row r="7" spans="3:7" ht="15.75">
      <c r="C7" s="3" t="s">
        <v>45</v>
      </c>
      <c r="D7" s="3"/>
      <c r="E7" s="3"/>
      <c r="F7" s="3"/>
      <c r="G7" s="24">
        <v>110.2</v>
      </c>
    </row>
    <row r="8" spans="3:7" ht="15.75">
      <c r="C8" s="3" t="s">
        <v>46</v>
      </c>
      <c r="D8" s="3"/>
      <c r="E8" s="3"/>
      <c r="F8" s="3"/>
      <c r="G8" s="24">
        <v>12739</v>
      </c>
    </row>
    <row r="9" spans="3:7" ht="15.75">
      <c r="C9" s="3" t="s">
        <v>7</v>
      </c>
      <c r="G9" s="23"/>
    </row>
    <row r="10" ht="15.75" thickBot="1">
      <c r="G10" s="23"/>
    </row>
    <row r="11" spans="3:7" ht="16.5" thickBot="1">
      <c r="C11" s="17" t="s">
        <v>8</v>
      </c>
      <c r="D11" s="16"/>
      <c r="E11" s="16"/>
      <c r="F11" s="16"/>
      <c r="G11" s="28">
        <f>G5-G36</f>
        <v>-0.6612203806951085</v>
      </c>
    </row>
    <row r="12" ht="15.75" thickBot="1">
      <c r="G12" s="23"/>
    </row>
    <row r="13" spans="3:7" ht="16.5" thickBot="1">
      <c r="C13" s="17" t="s">
        <v>9</v>
      </c>
      <c r="D13" s="18"/>
      <c r="E13" s="18"/>
      <c r="F13" s="18"/>
      <c r="G13" s="28">
        <f>ROUND((G36*2)-G5,1)</f>
        <v>9.1</v>
      </c>
    </row>
    <row r="16" spans="3:12" ht="15">
      <c r="C16" s="36" t="s">
        <v>27</v>
      </c>
      <c r="D16" s="36"/>
      <c r="E16" s="36"/>
      <c r="F16" s="36"/>
      <c r="G16" s="36"/>
      <c r="H16" s="36"/>
      <c r="I16" s="36"/>
      <c r="J16" s="36"/>
      <c r="K16" s="19"/>
      <c r="L16" s="19"/>
    </row>
    <row r="17" spans="3:12" ht="15">
      <c r="C17" s="36" t="s">
        <v>10</v>
      </c>
      <c r="D17" s="36"/>
      <c r="E17" s="36"/>
      <c r="F17" s="36"/>
      <c r="G17" s="36"/>
      <c r="H17" s="36"/>
      <c r="I17" s="36"/>
      <c r="J17" s="36"/>
      <c r="K17" s="19"/>
      <c r="L17" s="19"/>
    </row>
    <row r="20" ht="15.75">
      <c r="E20" s="3" t="s">
        <v>11</v>
      </c>
    </row>
    <row r="22" spans="3:7" ht="15">
      <c r="C22" t="s">
        <v>12</v>
      </c>
      <c r="G22" s="23">
        <f>(0.000025)*G8</f>
        <v>0.318475</v>
      </c>
    </row>
    <row r="23" spans="3:7" ht="15">
      <c r="C23" t="s">
        <v>13</v>
      </c>
      <c r="G23" s="23">
        <f>10^(-(1820000)*((78.3)*(273+G6))^-1.5*(G22^0.5/(1+G22^0.5)-0.3*G22))</f>
        <v>0.731973417531619</v>
      </c>
    </row>
    <row r="24" spans="3:7" ht="15">
      <c r="C24" t="s">
        <v>14</v>
      </c>
      <c r="G24" s="23">
        <f>10^(-(1820000)*((78.3)*(273+G6))^-1.5*2^2*(G22^0.5/(1+G22^0.5)-0.3*G22))</f>
        <v>0.2870656562078667</v>
      </c>
    </row>
    <row r="25" spans="3:7" ht="15">
      <c r="C25" t="s">
        <v>15</v>
      </c>
      <c r="G25" s="23">
        <f>G4*(20/50)*0.001/40</f>
        <v>0.00076</v>
      </c>
    </row>
    <row r="26" spans="3:7" ht="15">
      <c r="C26" t="s">
        <v>16</v>
      </c>
      <c r="G26" s="23">
        <f>G7*0.001/100</f>
        <v>0.0011020000000000001</v>
      </c>
    </row>
    <row r="27" spans="3:7" ht="15">
      <c r="C27" t="s">
        <v>17</v>
      </c>
      <c r="G27" s="23">
        <f>(2902.39/(273+G6))+0.02379*(273+G6)-6.498</f>
        <v>10.332052510326303</v>
      </c>
    </row>
    <row r="28" spans="3:7" ht="15">
      <c r="C28" t="s">
        <v>18</v>
      </c>
      <c r="G28" s="23">
        <f>1/10^G27</f>
        <v>4.65529803146799E-11</v>
      </c>
    </row>
    <row r="29" spans="3:7" ht="15">
      <c r="C29" t="s">
        <v>19</v>
      </c>
      <c r="G29" s="23">
        <f>G28/G24</f>
        <v>1.6216840749828493E-10</v>
      </c>
    </row>
    <row r="30" spans="3:7" ht="15">
      <c r="C30" t="s">
        <v>20</v>
      </c>
      <c r="G30" s="23">
        <f>LOG(1/G29)</f>
        <v>9.790033748062829</v>
      </c>
    </row>
    <row r="31" spans="3:7" ht="15">
      <c r="C31" t="s">
        <v>21</v>
      </c>
      <c r="G31" s="23">
        <f>0.01183*(G6)+8.03</f>
        <v>8.3243304</v>
      </c>
    </row>
    <row r="32" spans="3:7" ht="15">
      <c r="C32" t="s">
        <v>22</v>
      </c>
      <c r="G32" s="23">
        <f>1/10^G31</f>
        <v>4.738813314391832E-09</v>
      </c>
    </row>
    <row r="33" spans="3:7" ht="15">
      <c r="C33" t="s">
        <v>23</v>
      </c>
      <c r="G33" s="23">
        <f>G32/G24^2</f>
        <v>5.750520083234396E-08</v>
      </c>
    </row>
    <row r="34" spans="3:7" ht="15">
      <c r="C34" t="s">
        <v>24</v>
      </c>
      <c r="G34" s="23">
        <f>LOG(1/G33)</f>
        <v>7.24029287547305</v>
      </c>
    </row>
    <row r="35" spans="3:7" ht="15">
      <c r="C35" t="s">
        <v>25</v>
      </c>
      <c r="G35" s="23">
        <f>LOG(1/G25)</f>
        <v>3.1191864077192086</v>
      </c>
    </row>
    <row r="36" spans="3:7" ht="15">
      <c r="C36" t="s">
        <v>26</v>
      </c>
      <c r="G36" s="23">
        <f>G30+G35-G34-LOG(2*G26)-LOG(G23)</f>
        <v>8.461220380695108</v>
      </c>
    </row>
    <row r="39" ht="15">
      <c r="D39" s="1"/>
    </row>
    <row r="40" spans="3:7" ht="18">
      <c r="C40" s="5" t="s">
        <v>31</v>
      </c>
      <c r="E40" s="4"/>
      <c r="F40" s="4"/>
      <c r="G40" s="4"/>
    </row>
    <row r="41" ht="18">
      <c r="C41" s="6" t="s">
        <v>43</v>
      </c>
    </row>
  </sheetData>
  <sheetProtection/>
  <mergeCells count="5">
    <mergeCell ref="C1:J1"/>
    <mergeCell ref="C2:J2"/>
    <mergeCell ref="C3:J3"/>
    <mergeCell ref="C16:J16"/>
    <mergeCell ref="C17:J1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C1:L41"/>
  <sheetViews>
    <sheetView zoomScalePageLayoutView="0" workbookViewId="0" topLeftCell="A1">
      <selection activeCell="C1" sqref="C1:J41"/>
    </sheetView>
  </sheetViews>
  <sheetFormatPr defaultColWidth="8.88671875" defaultRowHeight="15"/>
  <sheetData>
    <row r="1" spans="3:11" ht="28.5">
      <c r="C1" s="35" t="s">
        <v>74</v>
      </c>
      <c r="D1" s="35"/>
      <c r="E1" s="35"/>
      <c r="F1" s="35"/>
      <c r="G1" s="35"/>
      <c r="H1" s="35"/>
      <c r="I1" s="35"/>
      <c r="J1" s="35"/>
      <c r="K1" s="1"/>
    </row>
    <row r="2" spans="3:11" ht="20.25">
      <c r="C2" s="33" t="s">
        <v>0</v>
      </c>
      <c r="D2" s="33"/>
      <c r="E2" s="33"/>
      <c r="F2" s="33"/>
      <c r="G2" s="33"/>
      <c r="H2" s="33"/>
      <c r="I2" s="33"/>
      <c r="J2" s="33"/>
      <c r="K2" s="1"/>
    </row>
    <row r="3" spans="3:11" ht="15.75">
      <c r="C3" s="34" t="s">
        <v>1</v>
      </c>
      <c r="D3" s="34"/>
      <c r="E3" s="34"/>
      <c r="F3" s="34"/>
      <c r="G3" s="34"/>
      <c r="H3" s="34"/>
      <c r="I3" s="34"/>
      <c r="J3" s="34"/>
      <c r="K3" s="1"/>
    </row>
    <row r="4" spans="3:7" ht="15.75">
      <c r="C4" s="3" t="s">
        <v>44</v>
      </c>
      <c r="D4" s="3"/>
      <c r="E4" s="3"/>
      <c r="F4" s="3"/>
      <c r="G4" s="24">
        <v>126.2</v>
      </c>
    </row>
    <row r="5" spans="3:7" ht="15.75">
      <c r="C5" s="3" t="s">
        <v>3</v>
      </c>
      <c r="D5" s="3"/>
      <c r="E5" s="3"/>
      <c r="F5" s="3"/>
      <c r="G5" s="24">
        <v>9</v>
      </c>
    </row>
    <row r="6" spans="3:7" ht="15.75">
      <c r="C6" s="3" t="s">
        <v>47</v>
      </c>
      <c r="D6" s="3"/>
      <c r="E6" s="3"/>
      <c r="F6" s="3"/>
      <c r="G6" s="24">
        <v>10.15</v>
      </c>
    </row>
    <row r="7" spans="3:7" ht="15.75">
      <c r="C7" s="3" t="s">
        <v>45</v>
      </c>
      <c r="D7" s="3"/>
      <c r="E7" s="3"/>
      <c r="F7" s="3"/>
      <c r="G7" s="24">
        <v>72.2</v>
      </c>
    </row>
    <row r="8" spans="3:7" ht="15.75">
      <c r="C8" s="3" t="s">
        <v>46</v>
      </c>
      <c r="D8" s="3"/>
      <c r="E8" s="3"/>
      <c r="F8" s="3"/>
      <c r="G8" s="24">
        <v>8055</v>
      </c>
    </row>
    <row r="9" spans="3:7" ht="15.75">
      <c r="C9" s="3" t="s">
        <v>7</v>
      </c>
      <c r="G9" s="23"/>
    </row>
    <row r="10" ht="15.75" thickBot="1">
      <c r="G10" s="23"/>
    </row>
    <row r="11" spans="3:7" ht="16.5" thickBot="1">
      <c r="C11" s="17" t="s">
        <v>8</v>
      </c>
      <c r="D11" s="16"/>
      <c r="E11" s="16"/>
      <c r="F11" s="16"/>
      <c r="G11" s="28">
        <f>G5-G36</f>
        <v>0.23487944284506668</v>
      </c>
    </row>
    <row r="12" ht="15.75" thickBot="1">
      <c r="G12" s="23"/>
    </row>
    <row r="13" spans="3:7" ht="16.5" thickBot="1">
      <c r="C13" s="17" t="s">
        <v>9</v>
      </c>
      <c r="D13" s="18"/>
      <c r="E13" s="18"/>
      <c r="F13" s="18"/>
      <c r="G13" s="28">
        <f>ROUND((G36*2)-G5,1)</f>
        <v>8.5</v>
      </c>
    </row>
    <row r="16" spans="3:12" ht="15">
      <c r="C16" s="36" t="s">
        <v>27</v>
      </c>
      <c r="D16" s="36"/>
      <c r="E16" s="36"/>
      <c r="F16" s="36"/>
      <c r="G16" s="36"/>
      <c r="H16" s="36"/>
      <c r="I16" s="36"/>
      <c r="J16" s="36"/>
      <c r="K16" s="19"/>
      <c r="L16" s="19"/>
    </row>
    <row r="17" spans="3:12" ht="15">
      <c r="C17" s="36" t="s">
        <v>10</v>
      </c>
      <c r="D17" s="36"/>
      <c r="E17" s="36"/>
      <c r="F17" s="36"/>
      <c r="G17" s="36"/>
      <c r="H17" s="36"/>
      <c r="I17" s="36"/>
      <c r="J17" s="36"/>
      <c r="K17" s="19"/>
      <c r="L17" s="19"/>
    </row>
    <row r="20" ht="15.75">
      <c r="E20" s="3" t="s">
        <v>11</v>
      </c>
    </row>
    <row r="22" spans="3:7" ht="15">
      <c r="C22" t="s">
        <v>12</v>
      </c>
      <c r="G22" s="23">
        <f>(0.000025)*G8</f>
        <v>0.201375</v>
      </c>
    </row>
    <row r="23" spans="3:7" ht="15">
      <c r="C23" t="s">
        <v>13</v>
      </c>
      <c r="G23" s="23">
        <f>10^(-(1820000)*((78.3)*(273+G6))^-1.5*(G22^0.5/(1+G22^0.5)-0.3*G22))</f>
        <v>0.728678203150441</v>
      </c>
    </row>
    <row r="24" spans="3:7" ht="15">
      <c r="C24" t="s">
        <v>14</v>
      </c>
      <c r="G24" s="23">
        <f>10^(-(1820000)*((78.3)*(273+G6))^-1.5*2^2*(G22^0.5/(1+G22^0.5)-0.3*G22))</f>
        <v>0.2819311838071178</v>
      </c>
    </row>
    <row r="25" spans="3:7" ht="15">
      <c r="C25" t="s">
        <v>15</v>
      </c>
      <c r="G25" s="23">
        <f>G4*(20/50)*0.001/40</f>
        <v>0.001262</v>
      </c>
    </row>
    <row r="26" spans="3:7" ht="15">
      <c r="C26" t="s">
        <v>16</v>
      </c>
      <c r="G26" s="23">
        <f>G7*0.001/100</f>
        <v>0.000722</v>
      </c>
    </row>
    <row r="27" spans="3:7" ht="15">
      <c r="C27" t="s">
        <v>17</v>
      </c>
      <c r="G27" s="23">
        <f>(2902.39/(273+G6))+0.02379*(273+G6)-6.498</f>
        <v>10.488500498940489</v>
      </c>
    </row>
    <row r="28" spans="3:7" ht="15">
      <c r="C28" t="s">
        <v>18</v>
      </c>
      <c r="G28" s="23">
        <f>1/10^G27</f>
        <v>3.2471286912025553E-11</v>
      </c>
    </row>
    <row r="29" spans="3:7" ht="15">
      <c r="C29" t="s">
        <v>19</v>
      </c>
      <c r="G29" s="23">
        <f>G28/G24</f>
        <v>1.1517451341686512E-10</v>
      </c>
    </row>
    <row r="30" spans="3:7" ht="15">
      <c r="C30" t="s">
        <v>20</v>
      </c>
      <c r="G30" s="23">
        <f>LOG(1/G29)</f>
        <v>9.938643613855547</v>
      </c>
    </row>
    <row r="31" spans="3:7" ht="15">
      <c r="C31" t="s">
        <v>21</v>
      </c>
      <c r="G31" s="23">
        <f>0.01183*(G6)+8.03</f>
        <v>8.150074499999999</v>
      </c>
    </row>
    <row r="32" spans="3:7" ht="15">
      <c r="C32" t="s">
        <v>22</v>
      </c>
      <c r="G32" s="23">
        <f>1/10^G31</f>
        <v>7.078243519468254E-09</v>
      </c>
    </row>
    <row r="33" spans="3:7" ht="15">
      <c r="C33" t="s">
        <v>23</v>
      </c>
      <c r="G33" s="23">
        <f>G32/G24^2</f>
        <v>8.905109625439536E-08</v>
      </c>
    </row>
    <row r="34" spans="3:7" ht="15">
      <c r="C34" t="s">
        <v>24</v>
      </c>
      <c r="G34" s="23">
        <f>LOG(1/G33)</f>
        <v>7.050360729830112</v>
      </c>
    </row>
    <row r="35" spans="3:7" ht="15">
      <c r="C35" t="s">
        <v>25</v>
      </c>
      <c r="G35" s="23">
        <f>LOG(1/G25)</f>
        <v>2.8989406450918844</v>
      </c>
    </row>
    <row r="36" spans="3:7" ht="15">
      <c r="C36" t="s">
        <v>26</v>
      </c>
      <c r="G36" s="23">
        <f>G30+G35-G34-LOG(2*G26)-LOG(G23)</f>
        <v>8.765120557154933</v>
      </c>
    </row>
    <row r="39" ht="15">
      <c r="D39" s="1"/>
    </row>
    <row r="40" spans="3:7" ht="18">
      <c r="C40" s="5" t="s">
        <v>48</v>
      </c>
      <c r="F40" s="4"/>
      <c r="G40" s="4"/>
    </row>
    <row r="41" ht="18">
      <c r="C41" s="6" t="s">
        <v>49</v>
      </c>
    </row>
  </sheetData>
  <sheetProtection/>
  <mergeCells count="5">
    <mergeCell ref="C1:J1"/>
    <mergeCell ref="C2:J2"/>
    <mergeCell ref="C3:J3"/>
    <mergeCell ref="C16:J16"/>
    <mergeCell ref="C17:J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L42"/>
  <sheetViews>
    <sheetView zoomScalePageLayoutView="0" workbookViewId="0" topLeftCell="A10">
      <selection activeCell="I28" sqref="I28"/>
    </sheetView>
  </sheetViews>
  <sheetFormatPr defaultColWidth="8.88671875" defaultRowHeight="15"/>
  <sheetData>
    <row r="1" spans="3:11" ht="28.5">
      <c r="C1" s="35" t="s">
        <v>53</v>
      </c>
      <c r="D1" s="35"/>
      <c r="E1" s="35"/>
      <c r="F1" s="35"/>
      <c r="G1" s="35"/>
      <c r="H1" s="35"/>
      <c r="I1" s="35"/>
      <c r="J1" s="35"/>
      <c r="K1" s="1"/>
    </row>
    <row r="2" spans="3:11" ht="20.25">
      <c r="C2" s="33" t="s">
        <v>0</v>
      </c>
      <c r="D2" s="33"/>
      <c r="E2" s="33"/>
      <c r="F2" s="33"/>
      <c r="G2" s="33"/>
      <c r="H2" s="33"/>
      <c r="I2" s="33"/>
      <c r="J2" s="33"/>
      <c r="K2" s="1"/>
    </row>
    <row r="3" spans="3:11" ht="15.75">
      <c r="C3" s="34" t="s">
        <v>1</v>
      </c>
      <c r="D3" s="34"/>
      <c r="E3" s="34"/>
      <c r="F3" s="34"/>
      <c r="G3" s="34"/>
      <c r="H3" s="34"/>
      <c r="I3" s="34"/>
      <c r="J3" s="34"/>
      <c r="K3" s="1"/>
    </row>
    <row r="4" spans="3:11" ht="15.75">
      <c r="C4" s="3" t="s">
        <v>44</v>
      </c>
      <c r="D4" s="3"/>
      <c r="E4" s="3"/>
      <c r="F4" s="3"/>
      <c r="G4" s="24">
        <v>467</v>
      </c>
      <c r="J4" s="1"/>
      <c r="K4" s="1"/>
    </row>
    <row r="5" spans="3:11" ht="15.75">
      <c r="C5" s="3" t="s">
        <v>3</v>
      </c>
      <c r="D5" s="3"/>
      <c r="E5" s="3"/>
      <c r="F5" s="3"/>
      <c r="G5" s="24">
        <v>7.75</v>
      </c>
      <c r="J5" s="1"/>
      <c r="K5" s="1"/>
    </row>
    <row r="6" spans="3:11" ht="15.75">
      <c r="C6" s="3" t="s">
        <v>47</v>
      </c>
      <c r="D6" s="3"/>
      <c r="E6" s="3"/>
      <c r="F6" s="3"/>
      <c r="G6" s="24">
        <v>20.19</v>
      </c>
      <c r="J6" s="1"/>
      <c r="K6" s="1"/>
    </row>
    <row r="7" spans="3:11" ht="15.75">
      <c r="C7" s="3" t="s">
        <v>45</v>
      </c>
      <c r="D7" s="3"/>
      <c r="E7" s="3"/>
      <c r="F7" s="3"/>
      <c r="G7" s="24">
        <v>83</v>
      </c>
      <c r="J7" s="1"/>
      <c r="K7" s="1"/>
    </row>
    <row r="8" spans="3:11" ht="15.75">
      <c r="C8" s="3" t="s">
        <v>46</v>
      </c>
      <c r="D8" s="3"/>
      <c r="E8" s="3"/>
      <c r="F8" s="3"/>
      <c r="G8" s="24">
        <v>5407</v>
      </c>
      <c r="J8" s="1"/>
      <c r="K8" s="1"/>
    </row>
    <row r="9" spans="3:11" ht="15.75">
      <c r="C9" s="3" t="s">
        <v>7</v>
      </c>
      <c r="G9" s="23"/>
      <c r="J9" s="1"/>
      <c r="K9" s="1"/>
    </row>
    <row r="10" spans="7:11" ht="15.75" thickBot="1">
      <c r="G10" s="23"/>
      <c r="J10" s="1"/>
      <c r="K10" s="1"/>
    </row>
    <row r="11" spans="3:11" ht="16.5" thickBot="1">
      <c r="C11" s="7" t="s">
        <v>8</v>
      </c>
      <c r="D11" s="7"/>
      <c r="E11" s="7"/>
      <c r="F11" s="7"/>
      <c r="G11" s="25">
        <f>G5-G36</f>
        <v>-0.06527794272935594</v>
      </c>
      <c r="J11" s="1"/>
      <c r="K11" s="1"/>
    </row>
    <row r="12" spans="7:11" ht="15.75" thickBot="1">
      <c r="G12" s="23"/>
      <c r="J12" s="1"/>
      <c r="K12" s="1"/>
    </row>
    <row r="13" spans="3:11" ht="16.5" thickBot="1">
      <c r="C13" s="7" t="s">
        <v>9</v>
      </c>
      <c r="D13" s="7"/>
      <c r="E13" s="7"/>
      <c r="F13" s="7"/>
      <c r="G13" s="25">
        <f>ROUND((G36*2)-G5,1)</f>
        <v>7.9</v>
      </c>
      <c r="J13" s="1"/>
      <c r="K13" s="1"/>
    </row>
    <row r="14" spans="10:11" ht="15">
      <c r="J14" s="1"/>
      <c r="K14" s="1"/>
    </row>
    <row r="15" spans="10:11" ht="15">
      <c r="J15" s="1"/>
      <c r="K15" s="1"/>
    </row>
    <row r="16" spans="3:12" ht="15">
      <c r="C16" s="36" t="s">
        <v>27</v>
      </c>
      <c r="D16" s="36"/>
      <c r="E16" s="36"/>
      <c r="F16" s="36"/>
      <c r="G16" s="36"/>
      <c r="H16" s="36"/>
      <c r="I16" s="36"/>
      <c r="J16" s="36"/>
      <c r="K16" s="19"/>
      <c r="L16" s="19"/>
    </row>
    <row r="17" spans="3:12" ht="15">
      <c r="C17" s="36" t="s">
        <v>10</v>
      </c>
      <c r="D17" s="36"/>
      <c r="E17" s="36"/>
      <c r="F17" s="36"/>
      <c r="G17" s="36"/>
      <c r="H17" s="36"/>
      <c r="I17" s="36"/>
      <c r="J17" s="36"/>
      <c r="K17" s="19"/>
      <c r="L17" s="19"/>
    </row>
    <row r="18" spans="10:11" ht="15">
      <c r="J18" s="1"/>
      <c r="K18" s="1"/>
    </row>
    <row r="19" spans="10:11" ht="15">
      <c r="J19" s="1"/>
      <c r="K19" s="1"/>
    </row>
    <row r="20" spans="5:11" ht="15.75">
      <c r="E20" s="3" t="s">
        <v>11</v>
      </c>
      <c r="J20" s="1"/>
      <c r="K20" s="1"/>
    </row>
    <row r="21" spans="10:11" ht="15">
      <c r="J21" s="1"/>
      <c r="K21" s="1"/>
    </row>
    <row r="22" spans="3:11" ht="15">
      <c r="C22" t="s">
        <v>12</v>
      </c>
      <c r="G22" s="23">
        <f>(0.000025)*G8</f>
        <v>0.13517500000000002</v>
      </c>
      <c r="J22" s="1"/>
      <c r="K22" s="1"/>
    </row>
    <row r="23" spans="3:11" ht="15">
      <c r="C23" t="s">
        <v>13</v>
      </c>
      <c r="G23" s="23">
        <f>10^(-(1820000)*((78.3)*(273+G6))^-1.5*(G22^0.5/(1+G22^0.5)-0.3*G22))</f>
        <v>0.7595521664400121</v>
      </c>
      <c r="J23" s="1"/>
      <c r="K23" s="1"/>
    </row>
    <row r="24" spans="3:11" ht="15">
      <c r="C24" t="s">
        <v>14</v>
      </c>
      <c r="G24" s="23">
        <f>10^(-(1820000)*((78.3)*(273+G6))^-1.5*2^2*(G22^0.5/(1+G22^0.5)-0.3*G22))</f>
        <v>0.33283610203073766</v>
      </c>
      <c r="J24" s="1"/>
      <c r="K24" s="1"/>
    </row>
    <row r="25" spans="3:11" ht="15">
      <c r="C25" t="s">
        <v>15</v>
      </c>
      <c r="G25" s="23">
        <f>G4*(20/50)*0.001/40</f>
        <v>0.0046700000000000005</v>
      </c>
      <c r="J25" s="1"/>
      <c r="K25" s="1"/>
    </row>
    <row r="26" spans="3:11" ht="15">
      <c r="C26" t="s">
        <v>16</v>
      </c>
      <c r="G26" s="23">
        <f>G7*0.001/100</f>
        <v>0.00083</v>
      </c>
      <c r="J26" s="1"/>
      <c r="K26" s="1"/>
    </row>
    <row r="27" spans="3:11" ht="15">
      <c r="C27" t="s">
        <v>17</v>
      </c>
      <c r="G27" s="23">
        <f>(2902.39/(273+G6))+0.02379*(273+G6)-6.498</f>
        <v>10.376338645311911</v>
      </c>
      <c r="J27" s="1"/>
      <c r="K27" s="1"/>
    </row>
    <row r="28" spans="3:11" ht="15">
      <c r="C28" t="s">
        <v>18</v>
      </c>
      <c r="G28" s="23">
        <f>1/10^G27</f>
        <v>4.2039869061014024E-11</v>
      </c>
      <c r="J28" s="1"/>
      <c r="K28" s="1"/>
    </row>
    <row r="29" spans="3:11" ht="15">
      <c r="C29" t="s">
        <v>19</v>
      </c>
      <c r="G29" s="23">
        <f>G28/G24</f>
        <v>1.2630802008711067E-10</v>
      </c>
      <c r="J29" s="1"/>
      <c r="K29" s="1"/>
    </row>
    <row r="30" spans="3:11" ht="15">
      <c r="C30" t="s">
        <v>20</v>
      </c>
      <c r="G30" s="23">
        <f>LOG(1/G29)</f>
        <v>9.898569072493023</v>
      </c>
      <c r="J30" s="1"/>
      <c r="K30" s="1"/>
    </row>
    <row r="31" spans="3:11" ht="15">
      <c r="C31" t="s">
        <v>21</v>
      </c>
      <c r="G31" s="23">
        <f>0.01183*(G6)+8.03</f>
        <v>8.2688477</v>
      </c>
      <c r="J31" s="1"/>
      <c r="K31" s="1"/>
    </row>
    <row r="32" spans="3:11" ht="15">
      <c r="C32" t="s">
        <v>22</v>
      </c>
      <c r="G32" s="23">
        <f>1/10^G31</f>
        <v>5.384585780622456E-09</v>
      </c>
      <c r="J32" s="1"/>
      <c r="K32" s="1"/>
    </row>
    <row r="33" spans="3:11" ht="15">
      <c r="C33" t="s">
        <v>23</v>
      </c>
      <c r="G33" s="23">
        <f>G32/G24^2</f>
        <v>4.86061749396137E-08</v>
      </c>
      <c r="J33" s="1"/>
      <c r="K33" s="1"/>
    </row>
    <row r="34" spans="3:11" ht="15">
      <c r="C34" t="s">
        <v>24</v>
      </c>
      <c r="G34" s="23">
        <f>LOG(1/G33)</f>
        <v>7.313308554362222</v>
      </c>
      <c r="J34" s="1"/>
      <c r="K34" s="1"/>
    </row>
    <row r="35" spans="3:11" ht="15">
      <c r="C35" t="s">
        <v>25</v>
      </c>
      <c r="G35" s="23">
        <f>LOG(1/G25)</f>
        <v>2.3306831194338877</v>
      </c>
      <c r="J35" s="1"/>
      <c r="K35" s="1"/>
    </row>
    <row r="36" spans="3:11" ht="15">
      <c r="C36" t="s">
        <v>26</v>
      </c>
      <c r="G36" s="23">
        <f>G30+G35-G34-LOG(2*G26)-LOG(G23)</f>
        <v>7.815277942729356</v>
      </c>
      <c r="J36" s="1"/>
      <c r="K36" s="1"/>
    </row>
    <row r="37" spans="10:11" ht="15">
      <c r="J37" s="1"/>
      <c r="K37" s="1"/>
    </row>
    <row r="38" spans="10:11" ht="15">
      <c r="J38" s="1"/>
      <c r="K38" s="1"/>
    </row>
    <row r="39" spans="4:11" ht="15">
      <c r="D39" s="1"/>
      <c r="J39" s="1"/>
      <c r="K39" s="1"/>
    </row>
    <row r="40" spans="3:11" ht="18">
      <c r="C40" s="5" t="s">
        <v>50</v>
      </c>
      <c r="E40" s="4"/>
      <c r="F40" s="4"/>
      <c r="G40" s="4"/>
      <c r="J40" s="1"/>
      <c r="K40" s="1"/>
    </row>
    <row r="41" spans="3:11" ht="18">
      <c r="C41" s="6" t="s">
        <v>28</v>
      </c>
      <c r="E41" s="12"/>
      <c r="F41" s="12"/>
      <c r="G41" s="4"/>
      <c r="J41" s="1"/>
      <c r="K41" s="1"/>
    </row>
    <row r="42" spans="10:11" ht="15">
      <c r="J42" s="1"/>
      <c r="K42" s="1"/>
    </row>
  </sheetData>
  <sheetProtection/>
  <mergeCells count="5">
    <mergeCell ref="C1:J1"/>
    <mergeCell ref="C3:J3"/>
    <mergeCell ref="C2:J2"/>
    <mergeCell ref="C16:J16"/>
    <mergeCell ref="C17:J1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C1:J41"/>
  <sheetViews>
    <sheetView zoomScalePageLayoutView="0" workbookViewId="0" topLeftCell="A1">
      <selection activeCell="F4" sqref="F4"/>
    </sheetView>
  </sheetViews>
  <sheetFormatPr defaultColWidth="8.88671875" defaultRowHeight="15"/>
  <sheetData>
    <row r="1" spans="3:10" ht="28.5">
      <c r="C1" s="35" t="s">
        <v>76</v>
      </c>
      <c r="D1" s="35"/>
      <c r="E1" s="35"/>
      <c r="F1" s="35"/>
      <c r="G1" s="35"/>
      <c r="H1" s="35"/>
      <c r="I1" s="35"/>
      <c r="J1" s="35"/>
    </row>
    <row r="2" spans="3:10" ht="20.25">
      <c r="C2" s="33" t="s">
        <v>0</v>
      </c>
      <c r="D2" s="33"/>
      <c r="E2" s="33"/>
      <c r="F2" s="33"/>
      <c r="G2" s="33"/>
      <c r="H2" s="33"/>
      <c r="I2" s="33"/>
      <c r="J2" s="33"/>
    </row>
    <row r="3" spans="3:10" ht="15.75">
      <c r="C3" s="34" t="s">
        <v>1</v>
      </c>
      <c r="D3" s="34"/>
      <c r="E3" s="34"/>
      <c r="F3" s="34"/>
      <c r="G3" s="34"/>
      <c r="H3" s="34"/>
      <c r="I3" s="34"/>
      <c r="J3" s="34"/>
    </row>
    <row r="4" spans="3:7" ht="15.75">
      <c r="C4" s="3" t="s">
        <v>44</v>
      </c>
      <c r="D4" s="3"/>
      <c r="E4" s="3"/>
      <c r="F4" s="3"/>
      <c r="G4" s="24">
        <v>449</v>
      </c>
    </row>
    <row r="5" spans="3:7" ht="15.75">
      <c r="C5" s="3" t="s">
        <v>3</v>
      </c>
      <c r="D5" s="3"/>
      <c r="E5" s="3"/>
      <c r="F5" s="3"/>
      <c r="G5" s="24">
        <v>6.4</v>
      </c>
    </row>
    <row r="6" spans="3:7" ht="15.75">
      <c r="C6" s="3" t="s">
        <v>47</v>
      </c>
      <c r="D6" s="3"/>
      <c r="E6" s="3"/>
      <c r="F6" s="3"/>
      <c r="G6" s="24">
        <v>11.8</v>
      </c>
    </row>
    <row r="7" spans="3:7" ht="15.75">
      <c r="C7" s="3" t="s">
        <v>45</v>
      </c>
      <c r="D7" s="3"/>
      <c r="E7" s="3"/>
      <c r="F7" s="3"/>
      <c r="G7" s="24">
        <v>43.2</v>
      </c>
    </row>
    <row r="8" spans="3:7" ht="15.75">
      <c r="C8" s="3" t="s">
        <v>46</v>
      </c>
      <c r="D8" s="3"/>
      <c r="E8" s="3"/>
      <c r="F8" s="3"/>
      <c r="G8" s="24">
        <v>7264</v>
      </c>
    </row>
    <row r="9" spans="3:7" ht="15.75">
      <c r="C9" s="3" t="s">
        <v>7</v>
      </c>
      <c r="G9" s="23"/>
    </row>
    <row r="10" ht="15.75" thickBot="1">
      <c r="G10" s="23"/>
    </row>
    <row r="11" spans="3:7" ht="16.5" thickBot="1">
      <c r="C11" s="17" t="s">
        <v>8</v>
      </c>
      <c r="D11" s="16"/>
      <c r="E11" s="16"/>
      <c r="F11" s="16"/>
      <c r="G11" s="28">
        <f>G5-G36</f>
        <v>-1.9776877680040101</v>
      </c>
    </row>
    <row r="12" ht="15.75" thickBot="1">
      <c r="G12" s="23"/>
    </row>
    <row r="13" spans="3:7" ht="16.5" thickBot="1">
      <c r="C13" s="17" t="s">
        <v>9</v>
      </c>
      <c r="D13" s="18"/>
      <c r="E13" s="18"/>
      <c r="F13" s="18"/>
      <c r="G13" s="28">
        <f>ROUND((G36*2)-G5,1)</f>
        <v>10.4</v>
      </c>
    </row>
    <row r="16" spans="3:10" ht="15">
      <c r="C16" s="36" t="s">
        <v>27</v>
      </c>
      <c r="D16" s="36"/>
      <c r="E16" s="36"/>
      <c r="F16" s="36"/>
      <c r="G16" s="36"/>
      <c r="H16" s="36"/>
      <c r="I16" s="36"/>
      <c r="J16" s="36"/>
    </row>
    <row r="17" spans="3:10" ht="15">
      <c r="C17" s="36" t="s">
        <v>10</v>
      </c>
      <c r="D17" s="36"/>
      <c r="E17" s="36"/>
      <c r="F17" s="36"/>
      <c r="G17" s="36"/>
      <c r="H17" s="36"/>
      <c r="I17" s="36"/>
      <c r="J17" s="36"/>
    </row>
    <row r="20" ht="15.75">
      <c r="E20" s="3" t="s">
        <v>11</v>
      </c>
    </row>
    <row r="22" spans="3:7" ht="15">
      <c r="C22" t="s">
        <v>12</v>
      </c>
      <c r="G22" s="23">
        <f>(0.000025)*G8</f>
        <v>0.1816</v>
      </c>
    </row>
    <row r="23" spans="3:7" ht="15">
      <c r="C23" t="s">
        <v>13</v>
      </c>
      <c r="G23" s="23">
        <f>10^(-(1820000)*((78.3)*(273+G6))^-1.5*(G22^0.5/(1+G22^0.5)-0.3*G22))</f>
        <v>0.7353011656094931</v>
      </c>
    </row>
    <row r="24" spans="3:7" ht="15">
      <c r="C24" t="s">
        <v>14</v>
      </c>
      <c r="G24" s="23">
        <f>10^(-(1820000)*((78.3)*(273+G6))^-1.5*2^2*(G22^0.5/(1+G22^0.5)-0.3*G22))</f>
        <v>0.29232167444079177</v>
      </c>
    </row>
    <row r="25" spans="3:7" ht="15">
      <c r="C25" t="s">
        <v>15</v>
      </c>
      <c r="G25" s="23">
        <f>G4*(20/50)*0.001/40</f>
        <v>0.004490000000000001</v>
      </c>
    </row>
    <row r="26" spans="3:7" ht="15">
      <c r="C26" t="s">
        <v>16</v>
      </c>
      <c r="G26" s="23">
        <f>G7*0.001/100</f>
        <v>0.00043200000000000004</v>
      </c>
    </row>
    <row r="27" spans="3:7" ht="15">
      <c r="C27" t="s">
        <v>17</v>
      </c>
      <c r="G27" s="23">
        <f>(2902.39/(273+G6))+0.02379*(273+G6)-6.498</f>
        <v>10.468368123595504</v>
      </c>
    </row>
    <row r="28" spans="3:7" ht="15">
      <c r="C28" t="s">
        <v>18</v>
      </c>
      <c r="G28" s="23">
        <f>1/10^G27</f>
        <v>3.401197697524234E-11</v>
      </c>
    </row>
    <row r="29" spans="3:7" ht="15">
      <c r="C29" t="s">
        <v>19</v>
      </c>
      <c r="G29" s="23">
        <f>G28/G24</f>
        <v>1.1635119783815856E-10</v>
      </c>
    </row>
    <row r="30" spans="3:7" ht="15">
      <c r="C30" t="s">
        <v>20</v>
      </c>
      <c r="G30" s="23">
        <f>LOG(1/G29)</f>
        <v>9.934229141282927</v>
      </c>
    </row>
    <row r="31" spans="3:7" ht="15">
      <c r="C31" t="s">
        <v>21</v>
      </c>
      <c r="G31" s="23">
        <f>0.01183*(G6)+8.03</f>
        <v>8.169594</v>
      </c>
    </row>
    <row r="32" spans="3:7" ht="15">
      <c r="C32" t="s">
        <v>22</v>
      </c>
      <c r="G32" s="23">
        <f>1/10^G31</f>
        <v>6.767153067770739E-09</v>
      </c>
    </row>
    <row r="33" spans="3:7" ht="15">
      <c r="C33" t="s">
        <v>23</v>
      </c>
      <c r="G33" s="23">
        <f>G32/G24^2</f>
        <v>7.919248383570962E-08</v>
      </c>
    </row>
    <row r="34" spans="3:7" ht="15">
      <c r="C34" t="s">
        <v>24</v>
      </c>
      <c r="G34" s="23">
        <f>LOG(1/G33)</f>
        <v>7.101316035374845</v>
      </c>
    </row>
    <row r="35" spans="3:7" ht="15">
      <c r="C35" t="s">
        <v>25</v>
      </c>
      <c r="G35" s="23">
        <f>LOG(1/G25)</f>
        <v>2.3477536589966768</v>
      </c>
    </row>
    <row r="36" spans="3:7" ht="15">
      <c r="C36" t="s">
        <v>26</v>
      </c>
      <c r="G36" s="23">
        <f>G30+G35-G34-LOG(2*G26)-LOG(G23)</f>
        <v>8.37768776800401</v>
      </c>
    </row>
    <row r="39" ht="15">
      <c r="D39" s="1"/>
    </row>
    <row r="40" spans="3:7" ht="18">
      <c r="C40" s="5" t="s">
        <v>51</v>
      </c>
      <c r="F40" s="4"/>
      <c r="G40" s="4"/>
    </row>
    <row r="41" ht="18">
      <c r="C41" s="6" t="s">
        <v>39</v>
      </c>
    </row>
  </sheetData>
  <sheetProtection/>
  <mergeCells count="5">
    <mergeCell ref="C1:J1"/>
    <mergeCell ref="C2:J2"/>
    <mergeCell ref="C3:J3"/>
    <mergeCell ref="C16:J16"/>
    <mergeCell ref="C17:J17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J41"/>
  <sheetViews>
    <sheetView zoomScalePageLayoutView="0" workbookViewId="0" topLeftCell="A1">
      <selection activeCell="C1" sqref="C1:J41"/>
    </sheetView>
  </sheetViews>
  <sheetFormatPr defaultColWidth="8.88671875" defaultRowHeight="15"/>
  <sheetData>
    <row r="1" spans="3:10" ht="28.5">
      <c r="C1" s="35" t="s">
        <v>75</v>
      </c>
      <c r="D1" s="35"/>
      <c r="E1" s="35"/>
      <c r="F1" s="35"/>
      <c r="G1" s="35"/>
      <c r="H1" s="35"/>
      <c r="I1" s="35"/>
      <c r="J1" s="35"/>
    </row>
    <row r="2" spans="3:10" ht="20.25">
      <c r="C2" s="33" t="s">
        <v>0</v>
      </c>
      <c r="D2" s="33"/>
      <c r="E2" s="33"/>
      <c r="F2" s="33"/>
      <c r="G2" s="33"/>
      <c r="H2" s="33"/>
      <c r="I2" s="33"/>
      <c r="J2" s="33"/>
    </row>
    <row r="3" spans="3:10" ht="15.75">
      <c r="C3" s="34" t="s">
        <v>1</v>
      </c>
      <c r="D3" s="34"/>
      <c r="E3" s="34"/>
      <c r="F3" s="34"/>
      <c r="G3" s="34"/>
      <c r="H3" s="34"/>
      <c r="I3" s="34"/>
      <c r="J3" s="34"/>
    </row>
    <row r="4" spans="3:7" ht="15.75">
      <c r="C4" s="3" t="s">
        <v>44</v>
      </c>
      <c r="D4" s="3"/>
      <c r="E4" s="3"/>
      <c r="F4" s="3"/>
      <c r="G4" s="22">
        <v>301</v>
      </c>
    </row>
    <row r="5" spans="3:7" ht="15.75">
      <c r="C5" s="3" t="s">
        <v>3</v>
      </c>
      <c r="D5" s="3"/>
      <c r="E5" s="3"/>
      <c r="F5" s="3"/>
      <c r="G5" s="22">
        <v>6.4</v>
      </c>
    </row>
    <row r="6" spans="3:7" ht="15.75">
      <c r="C6" s="3" t="s">
        <v>47</v>
      </c>
      <c r="D6" s="3"/>
      <c r="E6" s="3"/>
      <c r="F6" s="3"/>
      <c r="G6" s="22">
        <v>11.38</v>
      </c>
    </row>
    <row r="7" spans="3:7" ht="15.75">
      <c r="C7" s="3" t="s">
        <v>45</v>
      </c>
      <c r="D7" s="3"/>
      <c r="E7" s="3"/>
      <c r="F7" s="3"/>
      <c r="G7" s="22">
        <v>43.2</v>
      </c>
    </row>
    <row r="8" spans="3:7" ht="15.75">
      <c r="C8" s="3" t="s">
        <v>46</v>
      </c>
      <c r="D8" s="3"/>
      <c r="E8" s="3"/>
      <c r="F8" s="3"/>
      <c r="G8" s="22">
        <v>6351</v>
      </c>
    </row>
    <row r="9" spans="3:7" ht="15.75">
      <c r="C9" s="3" t="s">
        <v>7</v>
      </c>
      <c r="G9" s="2"/>
    </row>
    <row r="10" ht="15.75" thickBot="1">
      <c r="G10" s="2"/>
    </row>
    <row r="11" spans="3:7" ht="16.5" thickBot="1">
      <c r="C11" s="17" t="s">
        <v>8</v>
      </c>
      <c r="D11" s="16"/>
      <c r="E11" s="16"/>
      <c r="F11" s="16"/>
      <c r="G11" s="29">
        <f>G5-G36</f>
        <v>-2.1436187715362554</v>
      </c>
    </row>
    <row r="12" ht="15.75" thickBot="1">
      <c r="G12" s="2"/>
    </row>
    <row r="13" spans="3:7" ht="16.5" thickBot="1">
      <c r="C13" s="17" t="s">
        <v>9</v>
      </c>
      <c r="D13" s="18"/>
      <c r="E13" s="18"/>
      <c r="F13" s="18"/>
      <c r="G13" s="29">
        <f>ROUND((G36*2)-G5,1)</f>
        <v>10.7</v>
      </c>
    </row>
    <row r="16" spans="3:10" ht="15">
      <c r="C16" s="36" t="s">
        <v>27</v>
      </c>
      <c r="D16" s="36"/>
      <c r="E16" s="36"/>
      <c r="F16" s="36"/>
      <c r="G16" s="36"/>
      <c r="H16" s="36"/>
      <c r="I16" s="36"/>
      <c r="J16" s="36"/>
    </row>
    <row r="17" spans="3:10" ht="15">
      <c r="C17" s="36" t="s">
        <v>10</v>
      </c>
      <c r="D17" s="36"/>
      <c r="E17" s="36"/>
      <c r="F17" s="36"/>
      <c r="G17" s="36"/>
      <c r="H17" s="36"/>
      <c r="I17" s="36"/>
      <c r="J17" s="36"/>
    </row>
    <row r="20" ht="15.75">
      <c r="E20" s="3" t="s">
        <v>11</v>
      </c>
    </row>
    <row r="22" spans="3:7" ht="15">
      <c r="C22" t="s">
        <v>12</v>
      </c>
      <c r="G22" s="23">
        <f>(0.000025)*G8</f>
        <v>0.158775</v>
      </c>
    </row>
    <row r="23" spans="3:7" ht="15">
      <c r="C23" t="s">
        <v>13</v>
      </c>
      <c r="G23" s="23">
        <f>10^(-(1820000)*((78.3)*(273+G6))^-1.5*(G22^0.5/(1+G22^0.5)-0.3*G22))</f>
        <v>0.7413453834395259</v>
      </c>
    </row>
    <row r="24" spans="3:7" ht="15">
      <c r="C24" t="s">
        <v>14</v>
      </c>
      <c r="G24" s="23">
        <f>10^(-(1820000)*((78.3)*(273+G6))^-1.5*2^2*(G22^0.5/(1+G22^0.5)-0.3*G22))</f>
        <v>0.30205244096908473</v>
      </c>
    </row>
    <row r="25" spans="3:7" ht="15">
      <c r="C25" t="s">
        <v>15</v>
      </c>
      <c r="G25" s="23">
        <f>G4*(20/50)*0.001/40</f>
        <v>0.00301</v>
      </c>
    </row>
    <row r="26" spans="3:7" ht="15">
      <c r="C26" t="s">
        <v>16</v>
      </c>
      <c r="G26" s="23">
        <f>G7*0.001/100</f>
        <v>0.00043200000000000004</v>
      </c>
    </row>
    <row r="27" spans="3:7" ht="15">
      <c r="C27" t="s">
        <v>17</v>
      </c>
      <c r="G27" s="23">
        <f>(2902.39/(273+G6))+0.02379*(273+G6)-6.498</f>
        <v>10.473427346775438</v>
      </c>
    </row>
    <row r="28" spans="3:7" ht="15">
      <c r="C28" t="s">
        <v>18</v>
      </c>
      <c r="G28" s="23">
        <f>1/10^G27</f>
        <v>3.361806040743301E-11</v>
      </c>
    </row>
    <row r="29" spans="3:7" ht="15">
      <c r="C29" t="s">
        <v>19</v>
      </c>
      <c r="G29" s="23">
        <f>G28/G24</f>
        <v>1.1129875428112775E-10</v>
      </c>
    </row>
    <row r="30" spans="3:7" ht="15">
      <c r="C30" t="s">
        <v>20</v>
      </c>
      <c r="G30" s="23">
        <f>LOG(1/G29)</f>
        <v>9.953509696508597</v>
      </c>
    </row>
    <row r="31" spans="3:7" ht="15">
      <c r="C31" t="s">
        <v>21</v>
      </c>
      <c r="G31" s="23">
        <f>0.01183*(G6)+8.03</f>
        <v>8.164625399999998</v>
      </c>
    </row>
    <row r="32" spans="3:7" ht="15">
      <c r="C32" t="s">
        <v>22</v>
      </c>
      <c r="G32" s="23">
        <f>1/10^G31</f>
        <v>6.84501808646783E-09</v>
      </c>
    </row>
    <row r="33" spans="3:7" ht="15">
      <c r="C33" t="s">
        <v>23</v>
      </c>
      <c r="G33" s="23">
        <f>G32/G24^2</f>
        <v>7.502567311811256E-08</v>
      </c>
    </row>
    <row r="34" spans="3:7" ht="15">
      <c r="C34" t="s">
        <v>24</v>
      </c>
      <c r="G34" s="23">
        <f>LOG(1/G33)</f>
        <v>7.124790099466314</v>
      </c>
    </row>
    <row r="35" spans="3:7" ht="15">
      <c r="C35" t="s">
        <v>25</v>
      </c>
      <c r="G35" s="23">
        <f>LOG(1/G25)</f>
        <v>2.5214335044061564</v>
      </c>
    </row>
    <row r="36" spans="3:7" ht="15">
      <c r="C36" t="s">
        <v>26</v>
      </c>
      <c r="G36" s="23">
        <f>G30+G35-G34-LOG(2*G26)-LOG(G23)</f>
        <v>8.543618771536256</v>
      </c>
    </row>
    <row r="39" ht="15">
      <c r="D39" s="1"/>
    </row>
    <row r="40" spans="3:7" ht="18">
      <c r="C40" s="5" t="s">
        <v>40</v>
      </c>
      <c r="F40" s="4"/>
      <c r="G40" s="4"/>
    </row>
    <row r="41" ht="18">
      <c r="C41" s="6" t="s">
        <v>41</v>
      </c>
    </row>
  </sheetData>
  <sheetProtection/>
  <mergeCells count="5">
    <mergeCell ref="C1:J1"/>
    <mergeCell ref="C2:J2"/>
    <mergeCell ref="C3:J3"/>
    <mergeCell ref="C16:J16"/>
    <mergeCell ref="C17:J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L41"/>
  <sheetViews>
    <sheetView zoomScalePageLayoutView="0" workbookViewId="0" topLeftCell="A19">
      <selection activeCell="I36" sqref="I36"/>
    </sheetView>
  </sheetViews>
  <sheetFormatPr defaultColWidth="8.88671875" defaultRowHeight="15"/>
  <cols>
    <col min="2" max="2" width="9.21484375" style="0" customWidth="1"/>
  </cols>
  <sheetData>
    <row r="1" spans="3:11" ht="28.5">
      <c r="C1" s="35" t="s">
        <v>54</v>
      </c>
      <c r="D1" s="35"/>
      <c r="E1" s="35"/>
      <c r="F1" s="35"/>
      <c r="G1" s="35"/>
      <c r="H1" s="35"/>
      <c r="I1" s="35"/>
      <c r="J1" s="35"/>
      <c r="K1" s="1"/>
    </row>
    <row r="2" spans="3:11" ht="20.25">
      <c r="C2" s="33" t="s">
        <v>0</v>
      </c>
      <c r="D2" s="33"/>
      <c r="E2" s="33"/>
      <c r="F2" s="33"/>
      <c r="G2" s="33"/>
      <c r="H2" s="33"/>
      <c r="I2" s="33"/>
      <c r="J2" s="33"/>
      <c r="K2" s="1"/>
    </row>
    <row r="3" spans="3:11" ht="15.75">
      <c r="C3" s="34" t="s">
        <v>1</v>
      </c>
      <c r="D3" s="34"/>
      <c r="E3" s="34"/>
      <c r="F3" s="34"/>
      <c r="G3" s="34"/>
      <c r="H3" s="34"/>
      <c r="I3" s="34"/>
      <c r="J3" s="34"/>
      <c r="K3" s="1"/>
    </row>
    <row r="4" spans="3:10" ht="15.75">
      <c r="C4" s="3" t="s">
        <v>44</v>
      </c>
      <c r="D4" s="3"/>
      <c r="E4" s="3"/>
      <c r="F4" s="3"/>
      <c r="G4" s="24">
        <v>1120</v>
      </c>
      <c r="J4" s="1"/>
    </row>
    <row r="5" spans="3:10" ht="15.75">
      <c r="C5" s="3" t="s">
        <v>3</v>
      </c>
      <c r="D5" s="3"/>
      <c r="E5" s="3"/>
      <c r="F5" s="3"/>
      <c r="G5" s="24">
        <v>7.49</v>
      </c>
      <c r="J5" s="1"/>
    </row>
    <row r="6" spans="3:10" ht="15.75">
      <c r="C6" s="3" t="s">
        <v>47</v>
      </c>
      <c r="D6" s="3"/>
      <c r="E6" s="3"/>
      <c r="F6" s="3"/>
      <c r="G6" s="24">
        <v>17</v>
      </c>
      <c r="J6" s="1"/>
    </row>
    <row r="7" spans="3:10" ht="15.75">
      <c r="C7" s="3" t="s">
        <v>45</v>
      </c>
      <c r="D7" s="3"/>
      <c r="E7" s="3"/>
      <c r="F7" s="3"/>
      <c r="G7" s="24">
        <v>126</v>
      </c>
      <c r="J7" s="1"/>
    </row>
    <row r="8" spans="3:10" ht="15.75">
      <c r="C8" s="3" t="s">
        <v>46</v>
      </c>
      <c r="D8" s="3"/>
      <c r="E8" s="3"/>
      <c r="F8" s="3"/>
      <c r="G8" s="24">
        <v>9579</v>
      </c>
      <c r="J8" s="1"/>
    </row>
    <row r="9" spans="3:10" ht="15.75">
      <c r="C9" s="3" t="s">
        <v>7</v>
      </c>
      <c r="G9" s="23"/>
      <c r="J9" s="1"/>
    </row>
    <row r="10" spans="7:10" ht="15.75" thickBot="1">
      <c r="G10" s="23"/>
      <c r="J10" s="1"/>
    </row>
    <row r="11" spans="3:10" ht="16.5" thickBot="1">
      <c r="C11" s="15" t="s">
        <v>8</v>
      </c>
      <c r="D11" s="15"/>
      <c r="E11" s="15"/>
      <c r="F11" s="15"/>
      <c r="G11" s="27">
        <f>G5-G36</f>
        <v>0.0796136827054239</v>
      </c>
      <c r="J11" s="1"/>
    </row>
    <row r="12" spans="7:10" ht="15.75" thickBot="1">
      <c r="G12" s="23"/>
      <c r="J12" s="1"/>
    </row>
    <row r="13" spans="3:10" ht="16.5" thickBot="1">
      <c r="C13" s="7" t="s">
        <v>9</v>
      </c>
      <c r="D13" s="7"/>
      <c r="E13" s="7"/>
      <c r="F13" s="7"/>
      <c r="G13" s="25">
        <f>ROUND((G36*2)-G5,1)</f>
        <v>7.3</v>
      </c>
      <c r="J13" s="1"/>
    </row>
    <row r="14" ht="15">
      <c r="J14" s="1"/>
    </row>
    <row r="15" ht="15">
      <c r="J15" s="1"/>
    </row>
    <row r="16" spans="3:12" ht="15">
      <c r="C16" s="36" t="s">
        <v>27</v>
      </c>
      <c r="D16" s="36"/>
      <c r="E16" s="36"/>
      <c r="F16" s="36"/>
      <c r="G16" s="36"/>
      <c r="H16" s="36"/>
      <c r="I16" s="36"/>
      <c r="J16" s="36"/>
      <c r="K16" s="19"/>
      <c r="L16" s="19"/>
    </row>
    <row r="17" spans="3:12" ht="15">
      <c r="C17" s="36" t="s">
        <v>10</v>
      </c>
      <c r="D17" s="36"/>
      <c r="E17" s="36"/>
      <c r="F17" s="36"/>
      <c r="G17" s="36"/>
      <c r="H17" s="36"/>
      <c r="I17" s="36"/>
      <c r="J17" s="36"/>
      <c r="K17" s="19"/>
      <c r="L17" s="19"/>
    </row>
    <row r="18" ht="15">
      <c r="J18" s="1"/>
    </row>
    <row r="19" ht="15">
      <c r="J19" s="1"/>
    </row>
    <row r="20" spans="5:10" ht="15.75">
      <c r="E20" s="3" t="s">
        <v>11</v>
      </c>
      <c r="J20" s="1"/>
    </row>
    <row r="21" ht="15">
      <c r="J21" s="1"/>
    </row>
    <row r="22" spans="3:10" ht="15">
      <c r="C22" t="s">
        <v>12</v>
      </c>
      <c r="G22" s="23">
        <f>(0.000025)*G8</f>
        <v>0.23947500000000002</v>
      </c>
      <c r="J22" s="1"/>
    </row>
    <row r="23" spans="3:10" ht="15">
      <c r="C23" t="s">
        <v>13</v>
      </c>
      <c r="G23" s="23">
        <f>10^(-(1820000)*((78.3)*(273+G6))^-1.5*(G22^0.5/(1+G22^0.5)-0.3*G22))</f>
        <v>0.730205836147585</v>
      </c>
      <c r="J23" s="1"/>
    </row>
    <row r="24" spans="3:10" ht="15">
      <c r="C24" t="s">
        <v>14</v>
      </c>
      <c r="G24" s="23">
        <f>10^(-(1820000)*((78.3)*(273+G6))^-1.5*2^2*(G22^0.5/(1+G22^0.5)-0.3*G22))</f>
        <v>0.2843028405370723</v>
      </c>
      <c r="J24" s="1"/>
    </row>
    <row r="25" spans="3:10" ht="15">
      <c r="C25" t="s">
        <v>15</v>
      </c>
      <c r="G25" s="23">
        <f>G4*(20/50)*0.001/40</f>
        <v>0.0112</v>
      </c>
      <c r="J25" s="1"/>
    </row>
    <row r="26" spans="3:10" ht="15">
      <c r="C26" t="s">
        <v>16</v>
      </c>
      <c r="G26" s="23">
        <f>G7*0.001/100</f>
        <v>0.00126</v>
      </c>
      <c r="J26" s="1"/>
    </row>
    <row r="27" spans="3:10" ht="15">
      <c r="C27" t="s">
        <v>17</v>
      </c>
      <c r="G27" s="23">
        <f>(2902.39/(273+G6))+0.02379*(273+G6)-6.498</f>
        <v>10.409341379310344</v>
      </c>
      <c r="J27" s="1"/>
    </row>
    <row r="28" spans="3:10" ht="15">
      <c r="C28" t="s">
        <v>18</v>
      </c>
      <c r="G28" s="23">
        <f>1/10^G27</f>
        <v>3.8963559130045937E-11</v>
      </c>
      <c r="J28" s="1"/>
    </row>
    <row r="29" spans="3:10" ht="15">
      <c r="C29" t="s">
        <v>19</v>
      </c>
      <c r="G29" s="23">
        <f>G28/G24</f>
        <v>1.3704948939813776E-10</v>
      </c>
      <c r="J29" s="1"/>
    </row>
    <row r="30" spans="3:10" ht="15">
      <c r="C30" t="s">
        <v>20</v>
      </c>
      <c r="G30" s="23">
        <f>LOG(1/G29)</f>
        <v>9.863122578161581</v>
      </c>
      <c r="J30" s="1"/>
    </row>
    <row r="31" spans="3:10" ht="15">
      <c r="C31" t="s">
        <v>21</v>
      </c>
      <c r="G31" s="23">
        <f>0.01183*(G6)+8.03</f>
        <v>8.23111</v>
      </c>
      <c r="J31" s="1"/>
    </row>
    <row r="32" spans="3:10" ht="15">
      <c r="C32" t="s">
        <v>22</v>
      </c>
      <c r="G32" s="23">
        <f>1/10^G31</f>
        <v>5.873405695079806E-09</v>
      </c>
      <c r="J32" s="1"/>
    </row>
    <row r="33" spans="3:10" ht="15">
      <c r="C33" t="s">
        <v>23</v>
      </c>
      <c r="G33" s="23">
        <f>G32/G24^2</f>
        <v>7.266538891505741E-08</v>
      </c>
      <c r="J33" s="1"/>
    </row>
    <row r="34" spans="3:10" ht="15">
      <c r="C34" t="s">
        <v>24</v>
      </c>
      <c r="G34" s="23">
        <f>LOG(1/G33)</f>
        <v>7.138672397702471</v>
      </c>
      <c r="J34" s="1"/>
    </row>
    <row r="35" spans="3:10" ht="15">
      <c r="C35" t="s">
        <v>25</v>
      </c>
      <c r="G35" s="23">
        <f>LOG(1/G25)</f>
        <v>1.9507819773298185</v>
      </c>
      <c r="J35" s="1"/>
    </row>
    <row r="36" spans="3:10" ht="15">
      <c r="C36" t="s">
        <v>26</v>
      </c>
      <c r="G36" s="23">
        <f>G30+G35-G34-LOG(2*G26)-LOG(G23)</f>
        <v>7.410386317294576</v>
      </c>
      <c r="J36" s="1"/>
    </row>
    <row r="37" ht="15">
      <c r="J37" s="1"/>
    </row>
    <row r="38" ht="15">
      <c r="J38" s="1"/>
    </row>
    <row r="39" spans="4:10" ht="15">
      <c r="D39" s="1"/>
      <c r="J39" s="1"/>
    </row>
    <row r="40" spans="3:10" ht="18">
      <c r="C40" s="5" t="s">
        <v>50</v>
      </c>
      <c r="E40" s="13"/>
      <c r="F40" s="13"/>
      <c r="G40" s="13"/>
      <c r="J40" s="1"/>
    </row>
    <row r="41" spans="3:10" ht="18">
      <c r="C41" s="6" t="s">
        <v>29</v>
      </c>
      <c r="J41" s="1"/>
    </row>
  </sheetData>
  <sheetProtection/>
  <mergeCells count="5">
    <mergeCell ref="C17:J17"/>
    <mergeCell ref="C1:J1"/>
    <mergeCell ref="C2:J2"/>
    <mergeCell ref="C3:J3"/>
    <mergeCell ref="C16:J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L41"/>
  <sheetViews>
    <sheetView zoomScalePageLayoutView="0" workbookViewId="0" topLeftCell="A19">
      <selection activeCell="J39" sqref="J39"/>
    </sheetView>
  </sheetViews>
  <sheetFormatPr defaultColWidth="8.88671875" defaultRowHeight="15"/>
  <sheetData>
    <row r="1" spans="3:11" ht="28.5">
      <c r="C1" s="35" t="s">
        <v>55</v>
      </c>
      <c r="D1" s="35"/>
      <c r="E1" s="35"/>
      <c r="F1" s="35"/>
      <c r="G1" s="35"/>
      <c r="H1" s="35"/>
      <c r="I1" s="35"/>
      <c r="J1" s="35"/>
      <c r="K1" s="1"/>
    </row>
    <row r="2" spans="3:11" ht="20.25">
      <c r="C2" s="33" t="s">
        <v>0</v>
      </c>
      <c r="D2" s="33"/>
      <c r="E2" s="33"/>
      <c r="F2" s="33"/>
      <c r="G2" s="33"/>
      <c r="H2" s="33"/>
      <c r="I2" s="33"/>
      <c r="J2" s="33"/>
      <c r="K2" s="1"/>
    </row>
    <row r="3" spans="3:11" ht="15.75">
      <c r="C3" s="34" t="s">
        <v>1</v>
      </c>
      <c r="D3" s="34"/>
      <c r="E3" s="34"/>
      <c r="F3" s="34"/>
      <c r="G3" s="34"/>
      <c r="H3" s="34"/>
      <c r="I3" s="34"/>
      <c r="J3" s="34"/>
      <c r="K3" s="1"/>
    </row>
    <row r="4" spans="3:10" ht="15.75">
      <c r="C4" s="3" t="s">
        <v>44</v>
      </c>
      <c r="D4" s="3"/>
      <c r="E4" s="3"/>
      <c r="F4" s="3"/>
      <c r="G4" s="24">
        <v>434.4</v>
      </c>
      <c r="J4" s="1"/>
    </row>
    <row r="5" spans="3:10" ht="15.75">
      <c r="C5" s="3" t="s">
        <v>3</v>
      </c>
      <c r="D5" s="3"/>
      <c r="E5" s="3"/>
      <c r="F5" s="3"/>
      <c r="G5" s="24">
        <v>7.5</v>
      </c>
      <c r="J5" s="1"/>
    </row>
    <row r="6" spans="3:10" ht="15.75">
      <c r="C6" s="3" t="s">
        <v>47</v>
      </c>
      <c r="D6" s="3"/>
      <c r="E6" s="3"/>
      <c r="F6" s="3"/>
      <c r="G6" s="24">
        <v>23</v>
      </c>
      <c r="J6" s="1"/>
    </row>
    <row r="7" spans="3:10" ht="15.75">
      <c r="C7" s="3" t="s">
        <v>45</v>
      </c>
      <c r="D7" s="3"/>
      <c r="E7" s="3"/>
      <c r="F7" s="3"/>
      <c r="G7" s="24">
        <v>49.6</v>
      </c>
      <c r="J7" s="1"/>
    </row>
    <row r="8" spans="3:10" ht="15.75">
      <c r="C8" s="3" t="s">
        <v>46</v>
      </c>
      <c r="D8" s="3"/>
      <c r="E8" s="3"/>
      <c r="F8" s="3"/>
      <c r="G8" s="24">
        <v>4142</v>
      </c>
      <c r="J8" s="1"/>
    </row>
    <row r="9" spans="3:10" ht="15.75">
      <c r="C9" s="3" t="s">
        <v>7</v>
      </c>
      <c r="G9" s="23"/>
      <c r="J9" s="1"/>
    </row>
    <row r="10" spans="7:10" ht="15.75" thickBot="1">
      <c r="G10" s="23"/>
      <c r="J10" s="1"/>
    </row>
    <row r="11" spans="3:10" ht="16.5" thickBot="1">
      <c r="C11" s="7" t="s">
        <v>8</v>
      </c>
      <c r="D11" s="8"/>
      <c r="E11" s="8"/>
      <c r="F11" s="8"/>
      <c r="G11" s="26">
        <f>G5-G35</f>
        <v>-0.460476640120274</v>
      </c>
      <c r="J11" s="1"/>
    </row>
    <row r="12" spans="7:10" ht="15.75" thickBot="1">
      <c r="G12" s="23"/>
      <c r="J12" s="1"/>
    </row>
    <row r="13" spans="3:10" ht="16.5" thickBot="1">
      <c r="C13" s="7" t="s">
        <v>9</v>
      </c>
      <c r="D13" s="10"/>
      <c r="E13" s="10"/>
      <c r="F13" s="10"/>
      <c r="G13" s="26">
        <f>ROUND((G35*2)-G5,1)</f>
        <v>8.4</v>
      </c>
      <c r="J13" s="1"/>
    </row>
    <row r="14" ht="15">
      <c r="J14" s="1"/>
    </row>
    <row r="15" spans="3:12" ht="15">
      <c r="C15" s="36" t="s">
        <v>27</v>
      </c>
      <c r="D15" s="36"/>
      <c r="E15" s="36"/>
      <c r="F15" s="36"/>
      <c r="G15" s="36"/>
      <c r="H15" s="36"/>
      <c r="I15" s="36"/>
      <c r="J15" s="36"/>
      <c r="K15" s="19"/>
      <c r="L15" s="19"/>
    </row>
    <row r="16" spans="3:12" ht="15">
      <c r="C16" s="36" t="s">
        <v>10</v>
      </c>
      <c r="D16" s="36"/>
      <c r="E16" s="36"/>
      <c r="F16" s="36"/>
      <c r="G16" s="36"/>
      <c r="H16" s="36"/>
      <c r="I16" s="36"/>
      <c r="J16" s="36"/>
      <c r="K16" s="19"/>
      <c r="L16" s="19"/>
    </row>
    <row r="17" ht="15">
      <c r="J17" s="1"/>
    </row>
    <row r="18" ht="15">
      <c r="J18" s="1"/>
    </row>
    <row r="19" spans="5:10" ht="15.75">
      <c r="E19" s="3" t="s">
        <v>11</v>
      </c>
      <c r="J19" s="1"/>
    </row>
    <row r="20" ht="15">
      <c r="J20" s="1"/>
    </row>
    <row r="21" spans="3:10" ht="15">
      <c r="C21" t="s">
        <v>12</v>
      </c>
      <c r="G21" s="23">
        <f>(0.000025)*G8</f>
        <v>0.10355</v>
      </c>
      <c r="J21" s="1"/>
    </row>
    <row r="22" spans="3:10" ht="15">
      <c r="C22" t="s">
        <v>13</v>
      </c>
      <c r="G22" s="23">
        <f>10^(-(1820000)*((78.3)*(273+G6))^-1.5*(G21^0.5/(1+G21^0.5)-0.3*G21))</f>
        <v>0.7770495236616519</v>
      </c>
      <c r="J22" s="1"/>
    </row>
    <row r="23" spans="3:10" ht="15">
      <c r="C23" t="s">
        <v>14</v>
      </c>
      <c r="G23" s="23">
        <f>10^(-(1820000)*((78.3)*(273+G6))^-1.5*2^2*(G21^0.5/(1+G21^0.5)-0.3*G21))</f>
        <v>0.3645816400158017</v>
      </c>
      <c r="J23" s="1"/>
    </row>
    <row r="24" spans="3:10" ht="15">
      <c r="C24" t="s">
        <v>15</v>
      </c>
      <c r="G24" s="23">
        <f>G4*(20/50)*0.001/40</f>
        <v>0.004344</v>
      </c>
      <c r="J24" s="1"/>
    </row>
    <row r="25" spans="3:10" ht="15">
      <c r="C25" t="s">
        <v>16</v>
      </c>
      <c r="G25" s="23">
        <f>G7*0.001/100</f>
        <v>0.000496</v>
      </c>
      <c r="J25" s="1"/>
    </row>
    <row r="26" spans="3:10" ht="15">
      <c r="C26" t="s">
        <v>17</v>
      </c>
      <c r="G26" s="23">
        <f>(2902.39/(273+G6))+0.02379*(273+G6)-6.498</f>
        <v>10.34921162162162</v>
      </c>
      <c r="J26" s="1"/>
    </row>
    <row r="27" spans="3:10" ht="15">
      <c r="C27" t="s">
        <v>18</v>
      </c>
      <c r="G27" s="23">
        <f>1/10^G26</f>
        <v>4.474951970176747E-11</v>
      </c>
      <c r="J27" s="1"/>
    </row>
    <row r="28" spans="3:10" ht="15">
      <c r="C28" t="s">
        <v>19</v>
      </c>
      <c r="G28" s="23">
        <f>G27/G23</f>
        <v>1.227421098325959E-10</v>
      </c>
      <c r="J28" s="1"/>
    </row>
    <row r="29" spans="3:10" ht="15">
      <c r="C29" t="s">
        <v>20</v>
      </c>
      <c r="G29" s="23">
        <f>LOG(1/G28)</f>
        <v>9.911006415834725</v>
      </c>
      <c r="J29" s="1"/>
    </row>
    <row r="30" spans="3:10" ht="15">
      <c r="C30" t="s">
        <v>21</v>
      </c>
      <c r="G30" s="23">
        <f>0.01183*(G6)+8.03</f>
        <v>8.30209</v>
      </c>
      <c r="J30" s="1"/>
    </row>
    <row r="31" spans="3:10" ht="15">
      <c r="C31" t="s">
        <v>22</v>
      </c>
      <c r="G31" s="23">
        <f>1/10^G30</f>
        <v>4.987811130131075E-09</v>
      </c>
      <c r="J31" s="1"/>
    </row>
    <row r="32" spans="3:10" ht="15">
      <c r="C32" t="s">
        <v>23</v>
      </c>
      <c r="G32" s="23">
        <f>G31/G23^2</f>
        <v>3.7524974999597734E-08</v>
      </c>
      <c r="J32" s="1"/>
    </row>
    <row r="33" spans="3:10" ht="15">
      <c r="C33" t="s">
        <v>24</v>
      </c>
      <c r="G33" s="23">
        <f>LOG(1/G32)</f>
        <v>7.425679588426207</v>
      </c>
      <c r="J33" s="1"/>
    </row>
    <row r="34" spans="3:10" ht="15">
      <c r="C34" t="s">
        <v>25</v>
      </c>
      <c r="G34" s="23">
        <f>LOG(1/G24)</f>
        <v>2.3621101834192095</v>
      </c>
      <c r="J34" s="1"/>
    </row>
    <row r="35" spans="3:10" ht="15">
      <c r="C35" t="s">
        <v>26</v>
      </c>
      <c r="G35" s="23">
        <f>G29+G34-G33-LOG(2*G25)-LOG(G22)</f>
        <v>7.960476640120274</v>
      </c>
      <c r="J35" s="1"/>
    </row>
    <row r="36" ht="15">
      <c r="J36" s="1"/>
    </row>
    <row r="37" ht="15">
      <c r="J37" s="1"/>
    </row>
    <row r="38" spans="4:10" ht="15">
      <c r="D38" s="1"/>
      <c r="J38" s="1"/>
    </row>
    <row r="39" spans="3:10" ht="18">
      <c r="C39" s="5" t="s">
        <v>50</v>
      </c>
      <c r="E39" s="4"/>
      <c r="F39" s="4"/>
      <c r="G39" s="4"/>
      <c r="J39" s="1"/>
    </row>
    <row r="40" spans="3:10" ht="18">
      <c r="C40" s="6" t="s">
        <v>67</v>
      </c>
      <c r="J40" s="1"/>
    </row>
    <row r="41" ht="15">
      <c r="J41" s="1"/>
    </row>
  </sheetData>
  <sheetProtection/>
  <mergeCells count="5">
    <mergeCell ref="C1:J1"/>
    <mergeCell ref="C2:J2"/>
    <mergeCell ref="C3:J3"/>
    <mergeCell ref="C15:J15"/>
    <mergeCell ref="C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1:L41"/>
  <sheetViews>
    <sheetView zoomScalePageLayoutView="0" workbookViewId="0" topLeftCell="A19">
      <selection activeCell="L12" sqref="L12"/>
    </sheetView>
  </sheetViews>
  <sheetFormatPr defaultColWidth="8.88671875" defaultRowHeight="15"/>
  <sheetData>
    <row r="1" spans="3:11" ht="28.5">
      <c r="C1" s="35" t="s">
        <v>68</v>
      </c>
      <c r="D1" s="35"/>
      <c r="E1" s="35"/>
      <c r="F1" s="35"/>
      <c r="G1" s="35"/>
      <c r="H1" s="35"/>
      <c r="I1" s="35"/>
      <c r="J1" s="35"/>
      <c r="K1" s="1"/>
    </row>
    <row r="2" spans="3:11" ht="20.25">
      <c r="C2" s="33" t="s">
        <v>0</v>
      </c>
      <c r="D2" s="33"/>
      <c r="E2" s="33"/>
      <c r="F2" s="33"/>
      <c r="G2" s="33"/>
      <c r="H2" s="33"/>
      <c r="I2" s="33"/>
      <c r="J2" s="33"/>
      <c r="K2" s="1"/>
    </row>
    <row r="3" spans="3:11" ht="15.75">
      <c r="C3" s="34" t="s">
        <v>1</v>
      </c>
      <c r="D3" s="34"/>
      <c r="E3" s="34"/>
      <c r="F3" s="34"/>
      <c r="G3" s="34"/>
      <c r="H3" s="34"/>
      <c r="I3" s="34"/>
      <c r="J3" s="34"/>
      <c r="K3" s="1"/>
    </row>
    <row r="4" spans="3:7" ht="15.75">
      <c r="C4" s="3" t="s">
        <v>44</v>
      </c>
      <c r="D4" s="3"/>
      <c r="E4" s="3"/>
      <c r="F4" s="3"/>
      <c r="G4" s="24">
        <v>733.2</v>
      </c>
    </row>
    <row r="5" spans="3:7" ht="15.75">
      <c r="C5" s="3" t="s">
        <v>3</v>
      </c>
      <c r="D5" s="3"/>
      <c r="E5" s="3"/>
      <c r="F5" s="3"/>
      <c r="G5" s="24">
        <v>7.85</v>
      </c>
    </row>
    <row r="6" spans="3:7" ht="15.75">
      <c r="C6" s="3" t="s">
        <v>47</v>
      </c>
      <c r="D6" s="3"/>
      <c r="E6" s="3"/>
      <c r="F6" s="3"/>
      <c r="G6" s="24">
        <v>23.1</v>
      </c>
    </row>
    <row r="7" spans="3:7" ht="15.75">
      <c r="C7" s="3" t="s">
        <v>45</v>
      </c>
      <c r="D7" s="3"/>
      <c r="E7" s="3"/>
      <c r="F7" s="3"/>
      <c r="G7" s="24">
        <v>77.6</v>
      </c>
    </row>
    <row r="8" spans="3:7" ht="15.75">
      <c r="C8" s="3" t="s">
        <v>46</v>
      </c>
      <c r="D8" s="3"/>
      <c r="E8" s="3"/>
      <c r="F8" s="3"/>
      <c r="G8" s="24">
        <v>6848</v>
      </c>
    </row>
    <row r="9" spans="3:7" ht="15.75">
      <c r="C9" s="3" t="s">
        <v>7</v>
      </c>
      <c r="G9" s="23"/>
    </row>
    <row r="10" ht="15.75" thickBot="1">
      <c r="G10" s="23"/>
    </row>
    <row r="11" spans="3:7" ht="16.5" thickBot="1">
      <c r="C11" s="7" t="s">
        <v>8</v>
      </c>
      <c r="D11" s="7"/>
      <c r="E11" s="7"/>
      <c r="F11" s="7"/>
      <c r="G11" s="25">
        <f>G5-G36</f>
        <v>0.23907593624590895</v>
      </c>
    </row>
    <row r="12" ht="15.75" thickBot="1">
      <c r="G12" s="23"/>
    </row>
    <row r="13" spans="3:7" ht="16.5" thickBot="1">
      <c r="C13" s="7" t="s">
        <v>9</v>
      </c>
      <c r="D13" s="7"/>
      <c r="E13" s="7"/>
      <c r="F13" s="7"/>
      <c r="G13" s="25">
        <f>ROUND((G36*2)-G5,1)</f>
        <v>7.4</v>
      </c>
    </row>
    <row r="16" spans="3:12" ht="15">
      <c r="C16" s="36" t="s">
        <v>27</v>
      </c>
      <c r="D16" s="36"/>
      <c r="E16" s="36"/>
      <c r="F16" s="36"/>
      <c r="G16" s="36"/>
      <c r="H16" s="36"/>
      <c r="I16" s="36"/>
      <c r="J16" s="36"/>
      <c r="K16" s="19"/>
      <c r="L16" s="19"/>
    </row>
    <row r="17" spans="3:12" ht="15">
      <c r="C17" s="36" t="s">
        <v>10</v>
      </c>
      <c r="D17" s="36"/>
      <c r="E17" s="36"/>
      <c r="F17" s="36"/>
      <c r="G17" s="36"/>
      <c r="H17" s="36"/>
      <c r="I17" s="36"/>
      <c r="J17" s="36"/>
      <c r="K17" s="19"/>
      <c r="L17" s="19"/>
    </row>
    <row r="20" ht="15.75">
      <c r="E20" s="3" t="s">
        <v>11</v>
      </c>
    </row>
    <row r="22" spans="3:7" ht="15">
      <c r="C22" t="s">
        <v>12</v>
      </c>
      <c r="G22" s="23">
        <f>(0.000025)*G8</f>
        <v>0.17120000000000002</v>
      </c>
    </row>
    <row r="23" spans="3:7" ht="15">
      <c r="C23" t="s">
        <v>13</v>
      </c>
      <c r="G23" s="23">
        <f>10^(-(1820000)*((78.3)*(273+G6))^-1.5*(G22^0.5/(1+G22^0.5)-0.3*G22))</f>
        <v>0.7509198341707528</v>
      </c>
    </row>
    <row r="24" spans="3:7" ht="15">
      <c r="C24" t="s">
        <v>14</v>
      </c>
      <c r="G24" s="23">
        <f>10^(-(1820000)*((78.3)*(273+G6))^-1.5*2^2*(G22^0.5/(1+G22^0.5)-0.3*G22))</f>
        <v>0.31796132806895533</v>
      </c>
    </row>
    <row r="25" spans="3:7" ht="15">
      <c r="C25" t="s">
        <v>15</v>
      </c>
      <c r="G25" s="23">
        <f>G4*(20/50)*0.001/40</f>
        <v>0.007332000000000001</v>
      </c>
    </row>
    <row r="26" spans="3:7" ht="15">
      <c r="C26" t="s">
        <v>16</v>
      </c>
      <c r="G26" s="23">
        <f>G7*0.001/100</f>
        <v>0.000776</v>
      </c>
    </row>
    <row r="27" spans="3:7" ht="15">
      <c r="C27" t="s">
        <v>17</v>
      </c>
      <c r="G27" s="23">
        <f>(2902.39/(273+G6))+0.02379*(273+G6)-6.498</f>
        <v>10.34827911482607</v>
      </c>
    </row>
    <row r="28" spans="3:7" ht="15">
      <c r="C28" t="s">
        <v>18</v>
      </c>
      <c r="G28" s="23">
        <f>1/10^G27</f>
        <v>4.4845708037214826E-11</v>
      </c>
    </row>
    <row r="29" spans="3:7" ht="15">
      <c r="C29" t="s">
        <v>19</v>
      </c>
      <c r="G29" s="23">
        <f>G28/G24</f>
        <v>1.410413911326011E-10</v>
      </c>
    </row>
    <row r="30" spans="3:7" ht="15">
      <c r="C30" t="s">
        <v>20</v>
      </c>
      <c r="G30" s="23">
        <f>LOG(1/G29)</f>
        <v>9.850653417113778</v>
      </c>
    </row>
    <row r="31" spans="3:7" ht="15">
      <c r="C31" t="s">
        <v>21</v>
      </c>
      <c r="G31" s="23">
        <f>0.01183*(G6)+8.03</f>
        <v>8.303272999999999</v>
      </c>
    </row>
    <row r="32" spans="3:7" ht="15">
      <c r="C32" t="s">
        <v>22</v>
      </c>
      <c r="G32" s="23">
        <f>1/10^G31</f>
        <v>4.974243029136902E-09</v>
      </c>
    </row>
    <row r="33" spans="3:7" ht="15">
      <c r="C33" t="s">
        <v>23</v>
      </c>
      <c r="G33" s="23">
        <f>G32/G24^2</f>
        <v>4.920150591078534E-08</v>
      </c>
    </row>
    <row r="34" spans="3:7" ht="15">
      <c r="C34" t="s">
        <v>24</v>
      </c>
      <c r="G34" s="23">
        <f>LOG(1/G33)</f>
        <v>7.308021604575412</v>
      </c>
    </row>
    <row r="35" spans="3:7" ht="15">
      <c r="C35" t="s">
        <v>25</v>
      </c>
      <c r="G35" s="23">
        <f>LOG(1/G25)</f>
        <v>2.134777543709821</v>
      </c>
    </row>
    <row r="36" spans="3:7" ht="15">
      <c r="C36" t="s">
        <v>26</v>
      </c>
      <c r="G36" s="23">
        <f>G30+G35-G34-LOG(2*G26)-LOG(G23)</f>
        <v>7.610924063754091</v>
      </c>
    </row>
    <row r="39" ht="15">
      <c r="D39" s="1"/>
    </row>
    <row r="40" spans="3:7" ht="18">
      <c r="C40" s="5" t="s">
        <v>50</v>
      </c>
      <c r="E40" s="4"/>
      <c r="F40" s="4"/>
      <c r="G40" s="4"/>
    </row>
    <row r="41" spans="3:7" ht="18">
      <c r="C41" s="6" t="s">
        <v>28</v>
      </c>
      <c r="E41" s="12"/>
      <c r="F41" s="12"/>
      <c r="G41" s="4"/>
    </row>
  </sheetData>
  <sheetProtection/>
  <mergeCells count="5">
    <mergeCell ref="C1:J1"/>
    <mergeCell ref="C2:J2"/>
    <mergeCell ref="C3:J3"/>
    <mergeCell ref="C16:J16"/>
    <mergeCell ref="C17:J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L42"/>
  <sheetViews>
    <sheetView zoomScalePageLayoutView="0" workbookViewId="0" topLeftCell="A1">
      <selection activeCell="C1" sqref="C1:J1"/>
    </sheetView>
  </sheetViews>
  <sheetFormatPr defaultColWidth="8.88671875" defaultRowHeight="15"/>
  <cols>
    <col min="10" max="10" width="16.4453125" style="0" customWidth="1"/>
  </cols>
  <sheetData>
    <row r="1" spans="3:11" ht="28.5">
      <c r="C1" s="35" t="s">
        <v>69</v>
      </c>
      <c r="D1" s="35"/>
      <c r="E1" s="35"/>
      <c r="F1" s="35"/>
      <c r="G1" s="35"/>
      <c r="H1" s="35"/>
      <c r="I1" s="35"/>
      <c r="J1" s="35"/>
      <c r="K1" s="1"/>
    </row>
    <row r="2" spans="3:11" ht="20.25">
      <c r="C2" s="33" t="s">
        <v>0</v>
      </c>
      <c r="D2" s="33"/>
      <c r="E2" s="33"/>
      <c r="F2" s="33"/>
      <c r="G2" s="33"/>
      <c r="H2" s="33"/>
      <c r="I2" s="33"/>
      <c r="J2" s="33"/>
      <c r="K2" s="1"/>
    </row>
    <row r="3" spans="3:11" ht="15.75">
      <c r="C3" s="34" t="s">
        <v>1</v>
      </c>
      <c r="D3" s="34"/>
      <c r="E3" s="34"/>
      <c r="F3" s="34"/>
      <c r="G3" s="34"/>
      <c r="H3" s="34"/>
      <c r="I3" s="34"/>
      <c r="J3" s="34"/>
      <c r="K3" s="1"/>
    </row>
    <row r="4" spans="3:10" ht="15.75">
      <c r="C4" s="3" t="s">
        <v>44</v>
      </c>
      <c r="D4" s="3"/>
      <c r="E4" s="3"/>
      <c r="F4" s="3"/>
      <c r="G4" s="24">
        <v>4.16</v>
      </c>
      <c r="J4" s="1"/>
    </row>
    <row r="5" spans="3:10" ht="15.75">
      <c r="C5" s="3" t="s">
        <v>3</v>
      </c>
      <c r="D5" s="3"/>
      <c r="E5" s="3"/>
      <c r="F5" s="3"/>
      <c r="G5" s="24">
        <v>7.87</v>
      </c>
      <c r="J5" s="1"/>
    </row>
    <row r="6" spans="3:10" ht="15.75">
      <c r="C6" s="3" t="s">
        <v>47</v>
      </c>
      <c r="D6" s="3"/>
      <c r="E6" s="3"/>
      <c r="F6" s="3"/>
      <c r="G6" s="24">
        <v>20.46</v>
      </c>
      <c r="J6" s="1"/>
    </row>
    <row r="7" spans="3:10" ht="15.75">
      <c r="C7" s="3" t="s">
        <v>45</v>
      </c>
      <c r="D7" s="3"/>
      <c r="E7" s="3"/>
      <c r="F7" s="3"/>
      <c r="G7" s="24">
        <v>10</v>
      </c>
      <c r="J7" s="1"/>
    </row>
    <row r="8" spans="3:10" ht="15.75">
      <c r="C8" s="3" t="s">
        <v>46</v>
      </c>
      <c r="D8" s="3"/>
      <c r="E8" s="3"/>
      <c r="F8" s="3"/>
      <c r="G8" s="24">
        <v>29</v>
      </c>
      <c r="J8" s="1"/>
    </row>
    <row r="9" spans="3:10" ht="15.75">
      <c r="C9" s="3" t="s">
        <v>7</v>
      </c>
      <c r="G9" s="23"/>
      <c r="J9" s="1"/>
    </row>
    <row r="10" spans="7:10" ht="15.75" thickBot="1">
      <c r="G10" s="23"/>
      <c r="J10" s="1"/>
    </row>
    <row r="11" spans="3:10" ht="16.5" thickBot="1">
      <c r="C11" s="7" t="s">
        <v>8</v>
      </c>
      <c r="D11" s="7"/>
      <c r="E11" s="7"/>
      <c r="F11" s="7"/>
      <c r="G11" s="25">
        <f>G5-G36</f>
        <v>-2.3794229322404634</v>
      </c>
      <c r="J11" s="1"/>
    </row>
    <row r="12" spans="7:10" ht="15.75" thickBot="1">
      <c r="G12" s="23"/>
      <c r="J12" s="1"/>
    </row>
    <row r="13" spans="3:10" ht="16.5" thickBot="1">
      <c r="C13" s="7" t="s">
        <v>9</v>
      </c>
      <c r="D13" s="7"/>
      <c r="E13" s="7"/>
      <c r="F13" s="7"/>
      <c r="G13" s="25">
        <f>ROUND((G36*2)-G5,1)</f>
        <v>12.6</v>
      </c>
      <c r="J13" s="1"/>
    </row>
    <row r="14" ht="15">
      <c r="J14" s="1"/>
    </row>
    <row r="15" ht="15">
      <c r="J15" s="1"/>
    </row>
    <row r="16" spans="3:12" ht="15">
      <c r="C16" s="36" t="s">
        <v>27</v>
      </c>
      <c r="D16" s="36"/>
      <c r="E16" s="36"/>
      <c r="F16" s="36"/>
      <c r="G16" s="36"/>
      <c r="H16" s="36"/>
      <c r="I16" s="36"/>
      <c r="J16" s="36"/>
      <c r="K16" s="19"/>
      <c r="L16" s="19"/>
    </row>
    <row r="17" spans="3:12" ht="15">
      <c r="C17" s="36" t="s">
        <v>10</v>
      </c>
      <c r="D17" s="36"/>
      <c r="E17" s="36"/>
      <c r="F17" s="36"/>
      <c r="G17" s="36"/>
      <c r="H17" s="36"/>
      <c r="I17" s="36"/>
      <c r="J17" s="36"/>
      <c r="K17" s="19"/>
      <c r="L17" s="19"/>
    </row>
    <row r="18" ht="15">
      <c r="J18" s="1"/>
    </row>
    <row r="19" ht="15">
      <c r="J19" s="1"/>
    </row>
    <row r="20" spans="5:10" ht="15.75">
      <c r="E20" s="3" t="s">
        <v>11</v>
      </c>
      <c r="J20" s="1"/>
    </row>
    <row r="21" ht="15">
      <c r="J21" s="1"/>
    </row>
    <row r="22" spans="3:10" ht="15">
      <c r="C22" t="s">
        <v>12</v>
      </c>
      <c r="G22" s="23">
        <f>(0.000025)*G8</f>
        <v>0.0007250000000000001</v>
      </c>
      <c r="J22" s="1"/>
    </row>
    <row r="23" spans="3:10" ht="15">
      <c r="C23" t="s">
        <v>13</v>
      </c>
      <c r="G23" s="23">
        <f>10^(-(1820000)*((78.3)*(273+G6))^-1.5*(G22^0.5/(1+G22^0.5)-0.3*G22))</f>
        <v>0.9691995054959632</v>
      </c>
      <c r="J23" s="1"/>
    </row>
    <row r="24" spans="3:10" ht="15">
      <c r="C24" t="s">
        <v>14</v>
      </c>
      <c r="G24" s="23">
        <f>10^(-(1820000)*((78.3)*(273+G6))^-1.5*2^2*(G22^0.5/(1+G22^0.5)-0.3*G22))</f>
        <v>0.8823740666522906</v>
      </c>
      <c r="J24" s="1"/>
    </row>
    <row r="25" spans="3:10" ht="15">
      <c r="C25" t="s">
        <v>15</v>
      </c>
      <c r="G25" s="23">
        <f>G4*(20/50)*0.001/40</f>
        <v>4.16E-05</v>
      </c>
      <c r="J25" s="1"/>
    </row>
    <row r="26" spans="3:10" ht="15">
      <c r="C26" t="s">
        <v>16</v>
      </c>
      <c r="G26" s="23">
        <f>G7*0.001/100</f>
        <v>0.0001</v>
      </c>
      <c r="J26" s="1"/>
    </row>
    <row r="27" spans="3:10" ht="15">
      <c r="C27" t="s">
        <v>17</v>
      </c>
      <c r="G27" s="23">
        <f>(2902.39/(273+G6))+0.02379*(273+G6)-6.498</f>
        <v>10.373653977932253</v>
      </c>
      <c r="J27" s="1"/>
    </row>
    <row r="28" spans="3:10" ht="15">
      <c r="C28" t="s">
        <v>18</v>
      </c>
      <c r="G28" s="23">
        <f>1/10^G27</f>
        <v>4.230055076697614E-11</v>
      </c>
      <c r="J28" s="1"/>
    </row>
    <row r="29" spans="3:10" ht="15">
      <c r="C29" t="s">
        <v>19</v>
      </c>
      <c r="G29" s="23">
        <f>G28/G24</f>
        <v>4.7939476425756226E-11</v>
      </c>
      <c r="J29" s="1"/>
    </row>
    <row r="30" spans="3:10" ht="15">
      <c r="C30" t="s">
        <v>20</v>
      </c>
      <c r="G30" s="23">
        <f>LOG(1/G29)</f>
        <v>10.31930671345311</v>
      </c>
      <c r="J30" s="1"/>
    </row>
    <row r="31" spans="3:10" ht="15">
      <c r="C31" t="s">
        <v>21</v>
      </c>
      <c r="G31" s="23">
        <f>0.01183*(G6)+8.03</f>
        <v>8.2720418</v>
      </c>
      <c r="J31" s="1"/>
    </row>
    <row r="32" spans="3:10" ht="15">
      <c r="C32" t="s">
        <v>22</v>
      </c>
      <c r="G32" s="23">
        <f>1/10^G31</f>
        <v>5.345129110920372E-09</v>
      </c>
      <c r="J32" s="1"/>
    </row>
    <row r="33" spans="3:10" ht="15">
      <c r="C33" t="s">
        <v>23</v>
      </c>
      <c r="G33" s="23">
        <f>G32/G24^2</f>
        <v>6.865192651712193E-09</v>
      </c>
      <c r="J33" s="1"/>
    </row>
    <row r="34" spans="3:10" ht="15">
      <c r="C34" t="s">
        <v>24</v>
      </c>
      <c r="G34" s="23">
        <f>LOG(1/G33)</f>
        <v>8.163347271041708</v>
      </c>
      <c r="J34" s="1"/>
    </row>
    <row r="35" spans="3:10" ht="15">
      <c r="C35" t="s">
        <v>25</v>
      </c>
      <c r="G35" s="23">
        <f>LOG(1/G25)</f>
        <v>4.380906669373258</v>
      </c>
      <c r="J35" s="1"/>
    </row>
    <row r="36" spans="3:10" ht="15">
      <c r="C36" t="s">
        <v>26</v>
      </c>
      <c r="G36" s="23">
        <f>G30+G35-G34-LOG(2*G26)-LOG(G23)</f>
        <v>10.249422932240464</v>
      </c>
      <c r="J36" s="1"/>
    </row>
    <row r="37" ht="15">
      <c r="J37" s="1"/>
    </row>
    <row r="38" ht="15">
      <c r="J38" s="1"/>
    </row>
    <row r="39" spans="4:10" ht="15">
      <c r="D39" s="1"/>
      <c r="J39" s="1"/>
    </row>
    <row r="40" spans="3:10" ht="15.75">
      <c r="C40" s="14" t="s">
        <v>50</v>
      </c>
      <c r="E40" s="3"/>
      <c r="F40" s="3"/>
      <c r="G40" s="3"/>
      <c r="J40" s="1"/>
    </row>
    <row r="41" spans="3:10" ht="18">
      <c r="C41" s="6" t="s">
        <v>57</v>
      </c>
      <c r="E41" s="12"/>
      <c r="F41" s="12"/>
      <c r="J41" s="1"/>
    </row>
    <row r="42" ht="15">
      <c r="J42" s="1"/>
    </row>
  </sheetData>
  <sheetProtection/>
  <mergeCells count="5">
    <mergeCell ref="C16:J16"/>
    <mergeCell ref="C17:J17"/>
    <mergeCell ref="C1:J1"/>
    <mergeCell ref="C2:J2"/>
    <mergeCell ref="C3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1:L42"/>
  <sheetViews>
    <sheetView zoomScalePageLayoutView="0" workbookViewId="0" topLeftCell="A22">
      <selection activeCell="C1" sqref="C1:J1"/>
    </sheetView>
  </sheetViews>
  <sheetFormatPr defaultColWidth="8.88671875" defaultRowHeight="15"/>
  <cols>
    <col min="10" max="10" width="19.21484375" style="0" customWidth="1"/>
  </cols>
  <sheetData>
    <row r="1" spans="3:11" ht="28.5">
      <c r="C1" s="35" t="s">
        <v>70</v>
      </c>
      <c r="D1" s="35"/>
      <c r="E1" s="35"/>
      <c r="F1" s="35"/>
      <c r="G1" s="35"/>
      <c r="H1" s="35"/>
      <c r="I1" s="35"/>
      <c r="J1" s="35"/>
      <c r="K1" s="1"/>
    </row>
    <row r="2" spans="3:11" ht="20.25">
      <c r="C2" s="33" t="s">
        <v>0</v>
      </c>
      <c r="D2" s="33"/>
      <c r="E2" s="33"/>
      <c r="F2" s="33"/>
      <c r="G2" s="33"/>
      <c r="H2" s="33"/>
      <c r="I2" s="33"/>
      <c r="J2" s="33"/>
      <c r="K2" s="1"/>
    </row>
    <row r="3" spans="3:11" ht="15.75">
      <c r="C3" s="34" t="s">
        <v>1</v>
      </c>
      <c r="D3" s="34"/>
      <c r="E3" s="34"/>
      <c r="F3" s="34"/>
      <c r="G3" s="34"/>
      <c r="H3" s="34"/>
      <c r="I3" s="34"/>
      <c r="J3" s="34"/>
      <c r="K3" s="1"/>
    </row>
    <row r="4" spans="3:10" ht="15.75">
      <c r="C4" s="3" t="s">
        <v>44</v>
      </c>
      <c r="D4" s="3"/>
      <c r="E4" s="3"/>
      <c r="F4" s="3"/>
      <c r="G4" s="24">
        <v>23.68</v>
      </c>
      <c r="J4" s="1"/>
    </row>
    <row r="5" spans="3:10" ht="15.75">
      <c r="C5" s="3" t="s">
        <v>3</v>
      </c>
      <c r="D5" s="3"/>
      <c r="E5" s="3"/>
      <c r="F5" s="3"/>
      <c r="G5" s="24">
        <v>7.55</v>
      </c>
      <c r="J5" s="1"/>
    </row>
    <row r="6" spans="3:10" ht="15.75">
      <c r="C6" s="3" t="s">
        <v>47</v>
      </c>
      <c r="D6" s="3"/>
      <c r="E6" s="3"/>
      <c r="F6" s="3"/>
      <c r="G6" s="24">
        <v>20.63</v>
      </c>
      <c r="J6" s="1"/>
    </row>
    <row r="7" spans="3:10" ht="15.75">
      <c r="C7" s="3" t="s">
        <v>45</v>
      </c>
      <c r="D7" s="3"/>
      <c r="E7" s="3"/>
      <c r="F7" s="3"/>
      <c r="G7" s="24">
        <v>12</v>
      </c>
      <c r="J7" s="1"/>
    </row>
    <row r="8" spans="3:10" ht="15.75">
      <c r="C8" s="3" t="s">
        <v>46</v>
      </c>
      <c r="D8" s="3"/>
      <c r="E8" s="3"/>
      <c r="F8" s="3"/>
      <c r="G8" s="24">
        <v>279</v>
      </c>
      <c r="J8" s="1"/>
    </row>
    <row r="9" spans="3:10" ht="15.75">
      <c r="C9" s="3" t="s">
        <v>7</v>
      </c>
      <c r="G9" s="2"/>
      <c r="J9" s="1"/>
    </row>
    <row r="10" spans="7:10" ht="15.75" thickBot="1">
      <c r="G10" s="2"/>
      <c r="J10" s="1"/>
    </row>
    <row r="11" spans="3:10" ht="16.5" thickBot="1">
      <c r="C11" s="7" t="s">
        <v>8</v>
      </c>
      <c r="D11" s="7"/>
      <c r="E11" s="7"/>
      <c r="F11" s="7"/>
      <c r="G11" s="25">
        <f>G5-G36</f>
        <v>-1.989067351817293</v>
      </c>
      <c r="J11" s="1"/>
    </row>
    <row r="12" spans="7:10" ht="15.75" thickBot="1">
      <c r="G12" s="23"/>
      <c r="J12" s="1"/>
    </row>
    <row r="13" spans="3:10" ht="16.5" thickBot="1">
      <c r="C13" s="7" t="s">
        <v>9</v>
      </c>
      <c r="D13" s="7"/>
      <c r="E13" s="7"/>
      <c r="F13" s="7"/>
      <c r="G13" s="25">
        <f>ROUND((G36*2)-G5,1)</f>
        <v>11.5</v>
      </c>
      <c r="J13" s="1"/>
    </row>
    <row r="14" ht="15">
      <c r="J14" s="1"/>
    </row>
    <row r="15" ht="15">
      <c r="J15" s="1"/>
    </row>
    <row r="16" spans="3:12" ht="15">
      <c r="C16" s="36" t="s">
        <v>27</v>
      </c>
      <c r="D16" s="36"/>
      <c r="E16" s="36"/>
      <c r="F16" s="36"/>
      <c r="G16" s="36"/>
      <c r="H16" s="36"/>
      <c r="I16" s="36"/>
      <c r="J16" s="36"/>
      <c r="K16" s="19"/>
      <c r="L16" s="19"/>
    </row>
    <row r="17" spans="3:12" ht="15">
      <c r="C17" s="36" t="s">
        <v>10</v>
      </c>
      <c r="D17" s="36"/>
      <c r="E17" s="36"/>
      <c r="F17" s="36"/>
      <c r="G17" s="36"/>
      <c r="H17" s="36"/>
      <c r="I17" s="36"/>
      <c r="J17" s="36"/>
      <c r="K17" s="19"/>
      <c r="L17" s="19"/>
    </row>
    <row r="18" ht="15">
      <c r="J18" s="1"/>
    </row>
    <row r="19" ht="15">
      <c r="J19" s="1"/>
    </row>
    <row r="20" spans="5:10" ht="15.75">
      <c r="E20" s="3" t="s">
        <v>11</v>
      </c>
      <c r="J20" s="1"/>
    </row>
    <row r="21" ht="15">
      <c r="J21" s="1"/>
    </row>
    <row r="22" spans="3:10" ht="15">
      <c r="C22" t="s">
        <v>12</v>
      </c>
      <c r="G22" s="23">
        <f>(0.000025)*G8</f>
        <v>0.006975</v>
      </c>
      <c r="J22" s="1"/>
    </row>
    <row r="23" spans="3:10" ht="15">
      <c r="C23" t="s">
        <v>13</v>
      </c>
      <c r="G23" s="23">
        <f>10^(-(1820000)*((78.3)*(273+G6))^-1.5*(G22^0.5/(1+G22^0.5)-0.3*G22))</f>
        <v>0.9138013739395653</v>
      </c>
      <c r="J23" s="1"/>
    </row>
    <row r="24" spans="3:10" ht="15">
      <c r="C24" t="s">
        <v>14</v>
      </c>
      <c r="G24" s="23">
        <f>10^(-(1820000)*((78.3)*(273+G6))^-1.5*2^2*(G22^0.5/(1+G22^0.5)-0.3*G22))</f>
        <v>0.6972800292788777</v>
      </c>
      <c r="J24" s="1"/>
    </row>
    <row r="25" spans="3:10" ht="15">
      <c r="C25" t="s">
        <v>15</v>
      </c>
      <c r="G25" s="23">
        <f>G4*(20/50)*0.001/40</f>
        <v>0.00023679999999999998</v>
      </c>
      <c r="J25" s="1"/>
    </row>
    <row r="26" spans="3:10" ht="15">
      <c r="C26" t="s">
        <v>16</v>
      </c>
      <c r="G26" s="23">
        <f>G7*0.001/100</f>
        <v>0.00012</v>
      </c>
      <c r="J26" s="1"/>
    </row>
    <row r="27" spans="3:10" ht="15">
      <c r="C27" t="s">
        <v>17</v>
      </c>
      <c r="G27" s="23">
        <f>(2902.39/(273+G6))+0.02379*(273+G6)-6.498</f>
        <v>10.371972225082583</v>
      </c>
      <c r="J27" s="1"/>
    </row>
    <row r="28" spans="3:10" ht="15">
      <c r="C28" t="s">
        <v>18</v>
      </c>
      <c r="G28" s="23">
        <f>1/10^G27</f>
        <v>4.246467209813469E-11</v>
      </c>
      <c r="J28" s="1"/>
    </row>
    <row r="29" spans="3:10" ht="15">
      <c r="C29" t="s">
        <v>19</v>
      </c>
      <c r="G29" s="23">
        <f>G28/G24</f>
        <v>6.090045650963411E-11</v>
      </c>
      <c r="J29" s="1"/>
    </row>
    <row r="30" spans="3:10" ht="15">
      <c r="C30" t="s">
        <v>20</v>
      </c>
      <c r="G30" s="23">
        <f>LOG(1/G29)</f>
        <v>10.215379451884827</v>
      </c>
      <c r="J30" s="1"/>
    </row>
    <row r="31" spans="3:10" ht="15">
      <c r="C31" t="s">
        <v>21</v>
      </c>
      <c r="G31" s="23">
        <f>0.01183*(G6)+8.03</f>
        <v>8.2740529</v>
      </c>
      <c r="J31" s="1"/>
    </row>
    <row r="32" spans="3:10" ht="15">
      <c r="C32" t="s">
        <v>22</v>
      </c>
      <c r="G32" s="23">
        <f>1/10^G31</f>
        <v>5.320434488355845E-09</v>
      </c>
      <c r="J32" s="1"/>
    </row>
    <row r="33" spans="3:10" ht="15">
      <c r="C33" t="s">
        <v>23</v>
      </c>
      <c r="G33" s="23">
        <f>G32/G24^2</f>
        <v>1.0942905439729158E-08</v>
      </c>
      <c r="J33" s="1"/>
    </row>
    <row r="34" spans="3:10" ht="15">
      <c r="C34" t="s">
        <v>24</v>
      </c>
      <c r="G34" s="23">
        <f>LOG(1/G33)</f>
        <v>7.960867353604485</v>
      </c>
      <c r="J34" s="1"/>
    </row>
    <row r="35" spans="3:10" ht="15">
      <c r="C35" t="s">
        <v>25</v>
      </c>
      <c r="G35" s="23">
        <f>LOG(1/G25)</f>
        <v>3.625618301949118</v>
      </c>
      <c r="J35" s="1"/>
    </row>
    <row r="36" spans="3:10" ht="15">
      <c r="C36" t="s">
        <v>26</v>
      </c>
      <c r="G36" s="23">
        <f>G30+G35-G34-LOG(2*G26)-LOG(G23)</f>
        <v>9.539067351817293</v>
      </c>
      <c r="J36" s="1"/>
    </row>
    <row r="37" ht="15">
      <c r="J37" s="1"/>
    </row>
    <row r="38" ht="15">
      <c r="J38" s="1"/>
    </row>
    <row r="39" spans="4:10" ht="15">
      <c r="D39" s="1"/>
      <c r="J39" s="1"/>
    </row>
    <row r="40" spans="3:10" ht="15.75">
      <c r="C40" s="14" t="s">
        <v>50</v>
      </c>
      <c r="E40" s="3"/>
      <c r="F40" s="3"/>
      <c r="G40" s="3"/>
      <c r="J40" s="1"/>
    </row>
    <row r="41" spans="3:10" ht="18">
      <c r="C41" s="6" t="s">
        <v>56</v>
      </c>
      <c r="E41" s="12"/>
      <c r="F41" s="12"/>
      <c r="J41" s="1"/>
    </row>
    <row r="42" ht="15">
      <c r="J42" s="1"/>
    </row>
  </sheetData>
  <sheetProtection/>
  <mergeCells count="5">
    <mergeCell ref="C16:J16"/>
    <mergeCell ref="C17:J17"/>
    <mergeCell ref="C1:J1"/>
    <mergeCell ref="C2:J2"/>
    <mergeCell ref="C3:J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1:L41"/>
  <sheetViews>
    <sheetView zoomScalePageLayoutView="0" workbookViewId="0" topLeftCell="A1">
      <selection activeCell="L10" sqref="L10"/>
    </sheetView>
  </sheetViews>
  <sheetFormatPr defaultColWidth="8.88671875" defaultRowHeight="15"/>
  <sheetData>
    <row r="1" spans="3:11" ht="28.5">
      <c r="C1" s="35" t="s">
        <v>71</v>
      </c>
      <c r="D1" s="35"/>
      <c r="E1" s="35"/>
      <c r="F1" s="35"/>
      <c r="G1" s="35"/>
      <c r="H1" s="35"/>
      <c r="I1" s="35"/>
      <c r="J1" s="35"/>
      <c r="K1" s="1"/>
    </row>
    <row r="2" spans="3:11" ht="20.25">
      <c r="C2" s="33" t="s">
        <v>0</v>
      </c>
      <c r="D2" s="33"/>
      <c r="E2" s="33"/>
      <c r="F2" s="33"/>
      <c r="G2" s="33"/>
      <c r="H2" s="33"/>
      <c r="I2" s="33"/>
      <c r="J2" s="33"/>
      <c r="K2" s="1"/>
    </row>
    <row r="3" spans="3:11" ht="15.75">
      <c r="C3" s="34" t="s">
        <v>1</v>
      </c>
      <c r="D3" s="34"/>
      <c r="E3" s="34"/>
      <c r="F3" s="34"/>
      <c r="G3" s="34"/>
      <c r="H3" s="34"/>
      <c r="I3" s="34"/>
      <c r="J3" s="34"/>
      <c r="K3" s="1"/>
    </row>
    <row r="4" spans="3:11" ht="15.75">
      <c r="C4" s="3" t="s">
        <v>44</v>
      </c>
      <c r="D4" s="3"/>
      <c r="E4" s="3"/>
      <c r="F4" s="3"/>
      <c r="G4" s="24">
        <v>80.8</v>
      </c>
      <c r="J4" s="1"/>
      <c r="K4" s="1"/>
    </row>
    <row r="5" spans="3:11" ht="15.75">
      <c r="C5" s="3" t="s">
        <v>3</v>
      </c>
      <c r="D5" s="3"/>
      <c r="E5" s="3"/>
      <c r="F5" s="3"/>
      <c r="G5" s="24">
        <v>7.85</v>
      </c>
      <c r="J5" s="1"/>
      <c r="K5" s="1"/>
    </row>
    <row r="6" spans="3:11" ht="15.75">
      <c r="C6" s="3" t="s">
        <v>47</v>
      </c>
      <c r="D6" s="3"/>
      <c r="E6" s="3"/>
      <c r="F6" s="3"/>
      <c r="G6" s="24">
        <v>25.03</v>
      </c>
      <c r="J6" s="1"/>
      <c r="K6" s="1"/>
    </row>
    <row r="7" spans="3:11" ht="15.75">
      <c r="C7" s="3" t="s">
        <v>45</v>
      </c>
      <c r="D7" s="3"/>
      <c r="E7" s="3"/>
      <c r="F7" s="3"/>
      <c r="G7" s="24">
        <v>142.6</v>
      </c>
      <c r="J7" s="1"/>
      <c r="K7" s="1"/>
    </row>
    <row r="8" spans="3:11" ht="15.75">
      <c r="C8" s="3" t="s">
        <v>46</v>
      </c>
      <c r="D8" s="3"/>
      <c r="E8" s="3"/>
      <c r="F8" s="3"/>
      <c r="G8" s="24">
        <v>7221</v>
      </c>
      <c r="J8" s="1"/>
      <c r="K8" s="1"/>
    </row>
    <row r="9" spans="3:11" ht="15.75">
      <c r="C9" s="3" t="s">
        <v>7</v>
      </c>
      <c r="G9" s="23"/>
      <c r="J9" s="1"/>
      <c r="K9" s="1"/>
    </row>
    <row r="10" spans="7:11" ht="15.75" thickBot="1">
      <c r="G10" s="23"/>
      <c r="J10" s="1"/>
      <c r="K10" s="1"/>
    </row>
    <row r="11" spans="3:11" ht="16.5" thickBot="1">
      <c r="C11" s="17" t="s">
        <v>8</v>
      </c>
      <c r="D11" s="16"/>
      <c r="E11" s="16"/>
      <c r="F11" s="16"/>
      <c r="G11" s="28">
        <f>G5-G36</f>
        <v>-0.4149999885612381</v>
      </c>
      <c r="J11" s="1"/>
      <c r="K11" s="1"/>
    </row>
    <row r="12" spans="7:11" ht="15.75" thickBot="1">
      <c r="G12" s="23"/>
      <c r="J12" s="1"/>
      <c r="K12" s="1"/>
    </row>
    <row r="13" spans="3:11" ht="16.5" thickBot="1">
      <c r="C13" s="17" t="s">
        <v>9</v>
      </c>
      <c r="D13" s="18"/>
      <c r="E13" s="18"/>
      <c r="F13" s="18"/>
      <c r="G13" s="28">
        <f>ROUND((G36*2)-G5,1)</f>
        <v>8.7</v>
      </c>
      <c r="J13" s="1"/>
      <c r="K13" s="1"/>
    </row>
    <row r="14" spans="10:11" ht="15">
      <c r="J14" s="1"/>
      <c r="K14" s="1"/>
    </row>
    <row r="15" spans="10:11" ht="15">
      <c r="J15" s="1"/>
      <c r="K15" s="1"/>
    </row>
    <row r="16" spans="3:12" ht="15">
      <c r="C16" s="36" t="s">
        <v>27</v>
      </c>
      <c r="D16" s="36"/>
      <c r="E16" s="36"/>
      <c r="F16" s="36"/>
      <c r="G16" s="36"/>
      <c r="H16" s="36"/>
      <c r="I16" s="36"/>
      <c r="J16" s="36"/>
      <c r="K16" s="19"/>
      <c r="L16" s="19"/>
    </row>
    <row r="17" spans="3:12" ht="15">
      <c r="C17" s="36" t="s">
        <v>10</v>
      </c>
      <c r="D17" s="36"/>
      <c r="E17" s="36"/>
      <c r="F17" s="36"/>
      <c r="G17" s="36"/>
      <c r="H17" s="36"/>
      <c r="I17" s="36"/>
      <c r="J17" s="36"/>
      <c r="K17" s="19"/>
      <c r="L17" s="19"/>
    </row>
    <row r="18" spans="10:11" ht="15">
      <c r="J18" s="1"/>
      <c r="K18" s="1"/>
    </row>
    <row r="19" spans="10:11" ht="15">
      <c r="J19" s="1"/>
      <c r="K19" s="1"/>
    </row>
    <row r="20" spans="5:11" ht="15.75">
      <c r="E20" s="3" t="s">
        <v>11</v>
      </c>
      <c r="J20" s="1"/>
      <c r="K20" s="1"/>
    </row>
    <row r="21" spans="10:11" ht="15">
      <c r="J21" s="1"/>
      <c r="K21" s="1"/>
    </row>
    <row r="22" spans="3:11" ht="15">
      <c r="C22" t="s">
        <v>12</v>
      </c>
      <c r="G22" s="23">
        <f>(0.000025)*G8</f>
        <v>0.18052500000000002</v>
      </c>
      <c r="J22" s="1"/>
      <c r="K22" s="1"/>
    </row>
    <row r="23" spans="3:11" ht="15">
      <c r="C23" t="s">
        <v>13</v>
      </c>
      <c r="G23" s="23">
        <f>10^(-(1820000)*((78.3)*(273+G6))^-1.5*(G22^0.5/(1+G22^0.5)-0.3*G22))</f>
        <v>0.7506029357963628</v>
      </c>
      <c r="J23" s="1"/>
      <c r="K23" s="1"/>
    </row>
    <row r="24" spans="3:11" ht="15">
      <c r="C24" t="s">
        <v>14</v>
      </c>
      <c r="G24" s="23">
        <f>10^(-(1820000)*((78.3)*(273+G6))^-1.5*2^2*(G22^0.5/(1+G22^0.5)-0.3*G22))</f>
        <v>0.3174249317331172</v>
      </c>
      <c r="J24" s="1"/>
      <c r="K24" s="1"/>
    </row>
    <row r="25" spans="3:11" ht="15">
      <c r="C25" t="s">
        <v>15</v>
      </c>
      <c r="G25" s="23">
        <f>G4*(20/50)*0.001/40</f>
        <v>0.000808</v>
      </c>
      <c r="J25" s="1"/>
      <c r="K25" s="1"/>
    </row>
    <row r="26" spans="3:11" ht="15">
      <c r="C26" t="s">
        <v>16</v>
      </c>
      <c r="G26" s="23">
        <f>G7*0.001/100</f>
        <v>0.001426</v>
      </c>
      <c r="J26" s="1"/>
      <c r="K26" s="1"/>
    </row>
    <row r="27" spans="3:11" ht="15">
      <c r="C27" t="s">
        <v>17</v>
      </c>
      <c r="G27" s="23">
        <f>(2902.39/(273+G6))+0.02379*(273+G6)-6.498</f>
        <v>10.330717064090862</v>
      </c>
      <c r="J27" s="1"/>
      <c r="K27" s="1"/>
    </row>
    <row r="28" spans="3:11" ht="15">
      <c r="C28" t="s">
        <v>18</v>
      </c>
      <c r="G28" s="23">
        <f>1/10^G27</f>
        <v>4.669635004910764E-11</v>
      </c>
      <c r="J28" s="1"/>
      <c r="K28" s="1"/>
    </row>
    <row r="29" spans="3:11" ht="15">
      <c r="C29" t="s">
        <v>19</v>
      </c>
      <c r="G29" s="23">
        <f>G28/G24</f>
        <v>1.4710990026570674E-10</v>
      </c>
      <c r="J29" s="1"/>
      <c r="K29" s="1"/>
    </row>
    <row r="30" spans="3:11" ht="15">
      <c r="C30" t="s">
        <v>20</v>
      </c>
      <c r="G30" s="23">
        <f>LOG(1/G29)</f>
        <v>9.832358098951033</v>
      </c>
      <c r="J30" s="1"/>
      <c r="K30" s="1"/>
    </row>
    <row r="31" spans="3:11" ht="15">
      <c r="C31" t="s">
        <v>21</v>
      </c>
      <c r="G31" s="23">
        <f>0.01183*(G6)+8.03</f>
        <v>8.326104899999999</v>
      </c>
      <c r="J31" s="1"/>
      <c r="K31" s="1"/>
    </row>
    <row r="32" spans="3:11" ht="15">
      <c r="C32" t="s">
        <v>22</v>
      </c>
      <c r="G32" s="23">
        <f>1/10^G31</f>
        <v>4.719490323708129E-09</v>
      </c>
      <c r="J32" s="1"/>
      <c r="K32" s="1"/>
    </row>
    <row r="33" spans="3:11" ht="15">
      <c r="C33" t="s">
        <v>23</v>
      </c>
      <c r="G33" s="23">
        <f>G32/G24^2</f>
        <v>4.683958410733358E-08</v>
      </c>
      <c r="J33" s="1"/>
      <c r="K33" s="1"/>
    </row>
    <row r="34" spans="3:11" ht="15">
      <c r="C34" t="s">
        <v>24</v>
      </c>
      <c r="G34" s="23">
        <f>LOG(1/G33)</f>
        <v>7.32938696972034</v>
      </c>
      <c r="J34" s="1"/>
      <c r="K34" s="1"/>
    </row>
    <row r="35" spans="3:11" ht="15">
      <c r="C35" t="s">
        <v>25</v>
      </c>
      <c r="G35" s="23">
        <f>LOG(1/G25)</f>
        <v>3.092588639225414</v>
      </c>
      <c r="J35" s="1"/>
      <c r="K35" s="1"/>
    </row>
    <row r="36" spans="3:11" ht="15">
      <c r="C36" t="s">
        <v>26</v>
      </c>
      <c r="G36" s="23">
        <f>G30+G35-G34-LOG(2*G26)-LOG(G23)</f>
        <v>8.264999988561238</v>
      </c>
      <c r="J36" s="1"/>
      <c r="K36" s="1"/>
    </row>
    <row r="37" spans="10:11" ht="15">
      <c r="J37" s="1"/>
      <c r="K37" s="1"/>
    </row>
    <row r="38" spans="10:11" ht="15">
      <c r="J38" s="1"/>
      <c r="K38" s="1"/>
    </row>
    <row r="39" spans="4:11" ht="15">
      <c r="D39" s="1"/>
      <c r="J39" s="1"/>
      <c r="K39" s="1"/>
    </row>
    <row r="40" spans="3:11" ht="18">
      <c r="C40" s="5" t="s">
        <v>31</v>
      </c>
      <c r="E40" s="4"/>
      <c r="F40" s="4"/>
      <c r="G40" s="4"/>
      <c r="J40" s="1"/>
      <c r="K40" s="1"/>
    </row>
    <row r="41" spans="3:11" ht="18">
      <c r="C41" s="6" t="s">
        <v>35</v>
      </c>
      <c r="J41" s="1"/>
      <c r="K41" s="1"/>
    </row>
  </sheetData>
  <sheetProtection/>
  <mergeCells count="5">
    <mergeCell ref="C16:J16"/>
    <mergeCell ref="C17:J17"/>
    <mergeCell ref="C1:J1"/>
    <mergeCell ref="C2:J2"/>
    <mergeCell ref="C3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1:L41"/>
  <sheetViews>
    <sheetView zoomScalePageLayoutView="0" workbookViewId="0" topLeftCell="A7">
      <selection activeCell="C1" sqref="C1:J1"/>
    </sheetView>
  </sheetViews>
  <sheetFormatPr defaultColWidth="8.88671875" defaultRowHeight="15"/>
  <sheetData>
    <row r="1" spans="3:11" ht="28.5">
      <c r="C1" s="35" t="s">
        <v>58</v>
      </c>
      <c r="D1" s="35"/>
      <c r="E1" s="35"/>
      <c r="F1" s="35"/>
      <c r="G1" s="35"/>
      <c r="H1" s="35"/>
      <c r="I1" s="35"/>
      <c r="J1" s="35"/>
      <c r="K1" s="1"/>
    </row>
    <row r="2" spans="3:11" ht="20.25">
      <c r="C2" s="33" t="s">
        <v>0</v>
      </c>
      <c r="D2" s="33"/>
      <c r="E2" s="33"/>
      <c r="F2" s="33"/>
      <c r="G2" s="33"/>
      <c r="H2" s="33"/>
      <c r="I2" s="33"/>
      <c r="J2" s="33"/>
      <c r="K2" s="1"/>
    </row>
    <row r="3" spans="3:11" ht="15.75">
      <c r="C3" s="34" t="s">
        <v>1</v>
      </c>
      <c r="D3" s="34"/>
      <c r="E3" s="34"/>
      <c r="F3" s="34"/>
      <c r="G3" s="34"/>
      <c r="H3" s="34"/>
      <c r="I3" s="34"/>
      <c r="J3" s="34"/>
      <c r="K3" s="1"/>
    </row>
    <row r="4" spans="3:10" ht="15.75">
      <c r="C4" s="3" t="s">
        <v>44</v>
      </c>
      <c r="D4" s="3"/>
      <c r="E4" s="3"/>
      <c r="F4" s="3"/>
      <c r="G4" s="24">
        <v>3.84</v>
      </c>
      <c r="J4" s="1"/>
    </row>
    <row r="5" spans="3:10" ht="15.75">
      <c r="C5" s="3" t="s">
        <v>3</v>
      </c>
      <c r="D5" s="3"/>
      <c r="E5" s="3"/>
      <c r="F5" s="3"/>
      <c r="G5" s="24">
        <v>7.5</v>
      </c>
      <c r="J5" s="1"/>
    </row>
    <row r="6" spans="3:10" ht="15.75">
      <c r="C6" s="3" t="s">
        <v>47</v>
      </c>
      <c r="D6" s="3"/>
      <c r="E6" s="3"/>
      <c r="F6" s="3"/>
      <c r="G6" s="24">
        <v>24.78</v>
      </c>
      <c r="J6" s="1"/>
    </row>
    <row r="7" spans="3:10" ht="15.75">
      <c r="C7" s="3" t="s">
        <v>45</v>
      </c>
      <c r="D7" s="3"/>
      <c r="E7" s="3"/>
      <c r="F7" s="3"/>
      <c r="G7" s="24">
        <v>10.2</v>
      </c>
      <c r="J7" s="1"/>
    </row>
    <row r="8" spans="3:10" ht="15.75">
      <c r="C8" s="3" t="s">
        <v>46</v>
      </c>
      <c r="D8" s="3"/>
      <c r="E8" s="3"/>
      <c r="F8" s="3"/>
      <c r="G8" s="24">
        <v>762</v>
      </c>
      <c r="J8" s="1"/>
    </row>
    <row r="9" spans="3:10" ht="15.75">
      <c r="C9" s="3" t="s">
        <v>7</v>
      </c>
      <c r="G9" s="23"/>
      <c r="J9" s="1"/>
    </row>
    <row r="10" spans="7:10" ht="15.75" thickBot="1">
      <c r="G10" s="23"/>
      <c r="J10" s="1"/>
    </row>
    <row r="11" spans="3:10" ht="16.5" thickBot="1">
      <c r="C11" s="17" t="s">
        <v>8</v>
      </c>
      <c r="D11" s="16"/>
      <c r="E11" s="16"/>
      <c r="F11" s="16"/>
      <c r="G11" s="28">
        <f>G5-G36</f>
        <v>-2.9112227632931997</v>
      </c>
      <c r="J11" s="1"/>
    </row>
    <row r="12" spans="7:10" ht="15.75" thickBot="1">
      <c r="G12" s="23"/>
      <c r="J12" s="1"/>
    </row>
    <row r="13" spans="3:10" ht="16.5" thickBot="1">
      <c r="C13" s="17" t="s">
        <v>9</v>
      </c>
      <c r="D13" s="18"/>
      <c r="E13" s="18"/>
      <c r="F13" s="18"/>
      <c r="G13" s="28">
        <f>ROUND((G36*2)-G5,1)</f>
        <v>13.3</v>
      </c>
      <c r="J13" s="1"/>
    </row>
    <row r="14" ht="15">
      <c r="J14" s="1"/>
    </row>
    <row r="15" ht="15">
      <c r="J15" s="1"/>
    </row>
    <row r="16" spans="3:12" ht="15">
      <c r="C16" s="36" t="s">
        <v>27</v>
      </c>
      <c r="D16" s="36"/>
      <c r="E16" s="36"/>
      <c r="F16" s="36"/>
      <c r="G16" s="36"/>
      <c r="H16" s="36"/>
      <c r="I16" s="36"/>
      <c r="J16" s="36"/>
      <c r="K16" s="19"/>
      <c r="L16" s="19"/>
    </row>
    <row r="17" spans="3:12" ht="15">
      <c r="C17" s="36" t="s">
        <v>10</v>
      </c>
      <c r="D17" s="36"/>
      <c r="E17" s="36"/>
      <c r="F17" s="36"/>
      <c r="G17" s="36"/>
      <c r="H17" s="36"/>
      <c r="I17" s="36"/>
      <c r="J17" s="36"/>
      <c r="K17" s="19"/>
      <c r="L17" s="19"/>
    </row>
    <row r="18" ht="15">
      <c r="J18" s="1"/>
    </row>
    <row r="19" ht="15">
      <c r="J19" s="1"/>
    </row>
    <row r="20" spans="5:10" ht="15.75">
      <c r="E20" s="3" t="s">
        <v>11</v>
      </c>
      <c r="J20" s="1"/>
    </row>
    <row r="21" ht="15">
      <c r="J21" s="1"/>
    </row>
    <row r="22" spans="3:10" ht="15">
      <c r="C22" t="s">
        <v>12</v>
      </c>
      <c r="G22" s="23">
        <f>(0.000025)*G8</f>
        <v>0.01905</v>
      </c>
      <c r="J22" s="1"/>
    </row>
    <row r="23" spans="3:10" ht="15">
      <c r="C23" t="s">
        <v>13</v>
      </c>
      <c r="G23" s="23">
        <f>10^(-(1820000)*((78.3)*(273+G6))^-1.5*(G22^0.5/(1+G22^0.5)-0.3*G22))</f>
        <v>0.8728162021424734</v>
      </c>
      <c r="J23" s="1"/>
    </row>
    <row r="24" spans="3:10" ht="15">
      <c r="C24" t="s">
        <v>14</v>
      </c>
      <c r="G24" s="23">
        <f>10^(-(1820000)*((78.3)*(273+G6))^-1.5*2^2*(G22^0.5/(1+G22^0.5)-0.3*G22))</f>
        <v>0.5803516158458438</v>
      </c>
      <c r="J24" s="1"/>
    </row>
    <row r="25" spans="3:10" ht="15">
      <c r="C25" t="s">
        <v>15</v>
      </c>
      <c r="G25" s="23">
        <f>G4*(20/50)*0.001/40</f>
        <v>3.84E-05</v>
      </c>
      <c r="J25" s="1"/>
    </row>
    <row r="26" spans="3:10" ht="15">
      <c r="C26" t="s">
        <v>16</v>
      </c>
      <c r="G26" s="23">
        <f>G7*0.001/100</f>
        <v>0.00010199999999999999</v>
      </c>
      <c r="J26" s="1"/>
    </row>
    <row r="27" spans="3:10" ht="15">
      <c r="C27" t="s">
        <v>17</v>
      </c>
      <c r="G27" s="23">
        <f>(2902.39/(273+G6))+0.02379*(273+G6)-6.498</f>
        <v>10.332945552542142</v>
      </c>
      <c r="J27" s="1"/>
    </row>
    <row r="28" spans="3:10" ht="15">
      <c r="C28" t="s">
        <v>18</v>
      </c>
      <c r="G28" s="23">
        <f>1/10^G27</f>
        <v>4.6457351510927605E-11</v>
      </c>
      <c r="J28" s="1"/>
    </row>
    <row r="29" spans="3:10" ht="15">
      <c r="C29" t="s">
        <v>19</v>
      </c>
      <c r="G29" s="23">
        <f>G28/G24</f>
        <v>8.005035265253378E-11</v>
      </c>
      <c r="J29" s="1"/>
    </row>
    <row r="30" spans="3:10" ht="15">
      <c r="C30" t="s">
        <v>20</v>
      </c>
      <c r="G30" s="23">
        <f>LOG(1/G29)</f>
        <v>10.096636750506555</v>
      </c>
      <c r="J30" s="1"/>
    </row>
    <row r="31" spans="3:10" ht="15">
      <c r="C31" t="s">
        <v>21</v>
      </c>
      <c r="G31" s="23">
        <f>0.01183*(G6)+8.03</f>
        <v>8.3231474</v>
      </c>
      <c r="J31" s="1"/>
    </row>
    <row r="32" spans="3:10" ht="15">
      <c r="C32" t="s">
        <v>22</v>
      </c>
      <c r="G32" s="23">
        <f>1/10^G31</f>
        <v>4.7517392404604814E-09</v>
      </c>
      <c r="J32" s="1"/>
    </row>
    <row r="33" spans="3:10" ht="15">
      <c r="C33" t="s">
        <v>23</v>
      </c>
      <c r="G33" s="23">
        <f>G32/G24^2</f>
        <v>1.410815440389431E-08</v>
      </c>
      <c r="J33" s="1"/>
    </row>
    <row r="34" spans="3:10" ht="15">
      <c r="C34" t="s">
        <v>24</v>
      </c>
      <c r="G34" s="23">
        <f>LOG(1/G33)</f>
        <v>7.850529795928822</v>
      </c>
      <c r="J34" s="1"/>
    </row>
    <row r="35" spans="3:10" ht="15">
      <c r="C35" t="s">
        <v>25</v>
      </c>
      <c r="G35" s="23">
        <f>LOG(1/G25)</f>
        <v>4.4156687756324695</v>
      </c>
      <c r="J35" s="1"/>
    </row>
    <row r="36" spans="3:10" ht="15">
      <c r="C36" t="s">
        <v>26</v>
      </c>
      <c r="G36" s="23">
        <f>G30+G35-G34-LOG(2*G26)-LOG(G23)</f>
        <v>10.4112227632932</v>
      </c>
      <c r="J36" s="1"/>
    </row>
    <row r="37" ht="15">
      <c r="J37" s="1"/>
    </row>
    <row r="38" ht="15">
      <c r="J38" s="1"/>
    </row>
    <row r="39" spans="4:10" ht="15">
      <c r="D39" s="1"/>
      <c r="J39" s="1"/>
    </row>
    <row r="40" spans="3:10" ht="18">
      <c r="C40" s="5" t="s">
        <v>31</v>
      </c>
      <c r="E40" s="4"/>
      <c r="F40" s="4"/>
      <c r="G40" s="4"/>
      <c r="J40" s="1"/>
    </row>
    <row r="41" spans="3:10" ht="18">
      <c r="C41" s="6" t="s">
        <v>34</v>
      </c>
      <c r="J41" s="1"/>
    </row>
  </sheetData>
  <sheetProtection/>
  <mergeCells count="5">
    <mergeCell ref="C16:J16"/>
    <mergeCell ref="C17:J17"/>
    <mergeCell ref="C1:J1"/>
    <mergeCell ref="C2:J2"/>
    <mergeCell ref="C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 Fraser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Fraser</dc:creator>
  <cp:keywords/>
  <dc:description/>
  <cp:lastModifiedBy>majale office</cp:lastModifiedBy>
  <cp:lastPrinted>2022-06-10T08:32:23Z</cp:lastPrinted>
  <dcterms:created xsi:type="dcterms:W3CDTF">1998-03-29T05:23:38Z</dcterms:created>
  <dcterms:modified xsi:type="dcterms:W3CDTF">2023-05-08T06:52:29Z</dcterms:modified>
  <cp:category/>
  <cp:version/>
  <cp:contentType/>
  <cp:contentStatus/>
</cp:coreProperties>
</file>