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فارسی 71\proof\لعبت تقوی\"/>
    </mc:Choice>
  </mc:AlternateContent>
  <bookViews>
    <workbookView xWindow="0" yWindow="0" windowWidth="24000" windowHeight="9600"/>
  </bookViews>
  <sheets>
    <sheet name="Alternative 1" sheetId="1" r:id="rId1"/>
    <sheet name="Alternative 2" sheetId="3" r:id="rId2"/>
    <sheet name="Alternative 3" sheetId="4" r:id="rId3"/>
    <sheet name="Result"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7" i="1" l="1"/>
  <c r="F10" i="4"/>
  <c r="I10" i="4" s="1"/>
  <c r="F10" i="3"/>
  <c r="L10" i="3" s="1"/>
  <c r="F10" i="1"/>
  <c r="I10" i="1" s="1"/>
  <c r="O10" i="4" l="1"/>
  <c r="L10" i="4"/>
  <c r="O10" i="3"/>
  <c r="L10" i="1"/>
  <c r="O10" i="1"/>
  <c r="I10" i="3"/>
  <c r="G33" i="4"/>
  <c r="G32" i="4"/>
  <c r="G30" i="4"/>
  <c r="T7" i="4" l="1"/>
  <c r="F13" i="3"/>
  <c r="I13" i="3" s="1"/>
  <c r="F12" i="3"/>
  <c r="I12" i="3" s="1"/>
  <c r="F11" i="3"/>
  <c r="F9" i="3"/>
  <c r="L9" i="3" s="1"/>
  <c r="F8" i="3"/>
  <c r="L8" i="3" s="1"/>
  <c r="T7" i="3"/>
  <c r="F7" i="3"/>
  <c r="F6" i="3"/>
  <c r="T5" i="3"/>
  <c r="F5" i="3"/>
  <c r="O5" i="3" s="1"/>
  <c r="F13" i="4"/>
  <c r="I13" i="4" s="1"/>
  <c r="F12" i="4"/>
  <c r="O12" i="4" s="1"/>
  <c r="F11" i="4"/>
  <c r="G11" i="4" s="1"/>
  <c r="F9" i="4"/>
  <c r="O9" i="4" s="1"/>
  <c r="F8" i="4"/>
  <c r="I8" i="4" s="1"/>
  <c r="F7" i="4"/>
  <c r="F6" i="4"/>
  <c r="O6" i="4" s="1"/>
  <c r="T5" i="4"/>
  <c r="F5" i="4"/>
  <c r="L5" i="4" s="1"/>
  <c r="G11" i="3" l="1"/>
  <c r="U11" i="3"/>
  <c r="U11" i="4"/>
  <c r="G28" i="4" s="1"/>
  <c r="J11" i="4"/>
  <c r="L7" i="3"/>
  <c r="J7" i="3"/>
  <c r="G7" i="3"/>
  <c r="U7" i="3"/>
  <c r="M7" i="3"/>
  <c r="L7" i="4"/>
  <c r="G7" i="4"/>
  <c r="J7" i="4"/>
  <c r="U7" i="4"/>
  <c r="M7" i="4"/>
  <c r="O11" i="4"/>
  <c r="I11" i="4"/>
  <c r="I5" i="4"/>
  <c r="J5" i="4"/>
  <c r="M5" i="4"/>
  <c r="O5" i="4"/>
  <c r="P5" i="4" s="1"/>
  <c r="R5" i="4" s="1"/>
  <c r="M11" i="3"/>
  <c r="L5" i="3"/>
  <c r="O7" i="3"/>
  <c r="I9" i="3"/>
  <c r="U5" i="3"/>
  <c r="I5" i="3"/>
  <c r="I7" i="3"/>
  <c r="O13" i="4"/>
  <c r="M11" i="4"/>
  <c r="L13" i="4"/>
  <c r="L11" i="4"/>
  <c r="L13" i="3"/>
  <c r="O13" i="3"/>
  <c r="L12" i="3"/>
  <c r="O12" i="3"/>
  <c r="L8" i="4"/>
  <c r="O8" i="4"/>
  <c r="O9" i="3"/>
  <c r="I9" i="4"/>
  <c r="I7" i="4"/>
  <c r="I6" i="4"/>
  <c r="O7" i="4"/>
  <c r="G5" i="4"/>
  <c r="L6" i="4"/>
  <c r="M5" i="3"/>
  <c r="I6" i="3"/>
  <c r="I8" i="3"/>
  <c r="L6" i="3"/>
  <c r="I11" i="3"/>
  <c r="O6" i="3"/>
  <c r="P5" i="3" s="1"/>
  <c r="O8" i="3"/>
  <c r="J11" i="3"/>
  <c r="L11" i="3"/>
  <c r="G5" i="3"/>
  <c r="O11" i="3"/>
  <c r="J5" i="3"/>
  <c r="I12" i="4"/>
  <c r="L12" i="4"/>
  <c r="L9" i="4"/>
  <c r="U5" i="4"/>
  <c r="T5" i="1"/>
  <c r="P7" i="4" l="1"/>
  <c r="S7" i="4" s="1"/>
  <c r="P11" i="4"/>
  <c r="R11" i="4" s="1"/>
  <c r="G25" i="4" s="1"/>
  <c r="G23" i="4"/>
  <c r="G29" i="4" s="1"/>
  <c r="P7" i="3"/>
  <c r="S7" i="3" s="1"/>
  <c r="G24" i="4"/>
  <c r="S5" i="4"/>
  <c r="P11" i="3"/>
  <c r="S11" i="3" s="1"/>
  <c r="S5" i="3"/>
  <c r="R5" i="3"/>
  <c r="F12" i="1"/>
  <c r="I12" i="1" s="1"/>
  <c r="S11" i="4" l="1"/>
  <c r="R11" i="3"/>
  <c r="G27" i="4"/>
  <c r="L12" i="1"/>
  <c r="O12" i="1"/>
  <c r="R7" i="4"/>
  <c r="R7" i="3"/>
  <c r="F13" i="1"/>
  <c r="F11" i="1"/>
  <c r="U11" i="1" l="1"/>
  <c r="G11" i="1"/>
  <c r="L13" i="1"/>
  <c r="O13" i="1"/>
  <c r="I11" i="1"/>
  <c r="L11" i="1"/>
  <c r="M11" i="1"/>
  <c r="O11" i="1"/>
  <c r="I13" i="1"/>
  <c r="J11" i="1"/>
  <c r="P11" i="1" l="1"/>
  <c r="S11" i="1" s="1"/>
  <c r="F9" i="1"/>
  <c r="F8" i="1"/>
  <c r="F7" i="1"/>
  <c r="F6" i="1"/>
  <c r="F5" i="1"/>
  <c r="R11" i="1" l="1"/>
  <c r="J7" i="1"/>
  <c r="M7" i="1"/>
  <c r="G7" i="1"/>
  <c r="U7" i="1"/>
  <c r="I9" i="1"/>
  <c r="G30" i="3"/>
  <c r="G30" i="1"/>
  <c r="G33" i="3"/>
  <c r="G33" i="1"/>
  <c r="F48" i="4"/>
  <c r="G32" i="3"/>
  <c r="F45" i="3" s="1"/>
  <c r="G32" i="1"/>
  <c r="F48" i="1" s="1"/>
  <c r="U5" i="1"/>
  <c r="G28" i="1" s="1"/>
  <c r="I19" i="4"/>
  <c r="I18" i="4"/>
  <c r="I17" i="4"/>
  <c r="I19" i="1"/>
  <c r="I18" i="1"/>
  <c r="I17" i="1"/>
  <c r="G18" i="4"/>
  <c r="D52" i="4"/>
  <c r="I18" i="3"/>
  <c r="I19" i="3"/>
  <c r="G18" i="3"/>
  <c r="I17" i="3"/>
  <c r="G28" i="3"/>
  <c r="G24" i="3"/>
  <c r="G23" i="3"/>
  <c r="G29" i="3" s="1"/>
  <c r="G18" i="1"/>
  <c r="O6" i="1"/>
  <c r="O7" i="1"/>
  <c r="O8" i="1"/>
  <c r="O9" i="1"/>
  <c r="O5" i="1"/>
  <c r="L6" i="1"/>
  <c r="L7" i="1"/>
  <c r="L8" i="1"/>
  <c r="L9" i="1"/>
  <c r="L5" i="1"/>
  <c r="G5" i="1"/>
  <c r="M5" i="1"/>
  <c r="I6" i="1"/>
  <c r="I7" i="1"/>
  <c r="I8" i="1"/>
  <c r="I5" i="1"/>
  <c r="J5" i="1"/>
  <c r="D46" i="3" l="1"/>
  <c r="J52" i="3"/>
  <c r="I52" i="3" s="1"/>
  <c r="P5" i="1"/>
  <c r="R5" i="1" s="1"/>
  <c r="G25" i="1" s="1"/>
  <c r="E40" i="1" s="1"/>
  <c r="P7" i="1"/>
  <c r="S7" i="1" s="1"/>
  <c r="F42" i="1"/>
  <c r="D42" i="3"/>
  <c r="D43" i="3"/>
  <c r="F42" i="4"/>
  <c r="F45" i="4"/>
  <c r="I39" i="4"/>
  <c r="K39" i="4" s="1"/>
  <c r="G42" i="4"/>
  <c r="C36" i="3"/>
  <c r="H37" i="3" s="1"/>
  <c r="H38" i="3" s="1"/>
  <c r="H39" i="3" s="1"/>
  <c r="H40" i="3" s="1"/>
  <c r="H41" i="3" s="1"/>
  <c r="H42" i="3" s="1"/>
  <c r="G24" i="1"/>
  <c r="D45" i="1" s="1"/>
  <c r="G23" i="1"/>
  <c r="G29" i="1" s="1"/>
  <c r="J52" i="1" s="1"/>
  <c r="I52" i="1" s="1"/>
  <c r="I41" i="1"/>
  <c r="K41" i="1" s="1"/>
  <c r="I39" i="1"/>
  <c r="K39" i="1" s="1"/>
  <c r="I48" i="1"/>
  <c r="K48" i="1" s="1"/>
  <c r="D48" i="4"/>
  <c r="I51" i="4"/>
  <c r="D47" i="4"/>
  <c r="D46" i="4"/>
  <c r="D45" i="4"/>
  <c r="D44" i="4"/>
  <c r="I42" i="4"/>
  <c r="I40" i="4"/>
  <c r="I49" i="4"/>
  <c r="I47" i="4"/>
  <c r="D43" i="4"/>
  <c r="D42" i="4"/>
  <c r="D51" i="4"/>
  <c r="D41" i="4"/>
  <c r="D40" i="4"/>
  <c r="J52" i="4"/>
  <c r="I52" i="4" s="1"/>
  <c r="I46" i="4"/>
  <c r="I44" i="4"/>
  <c r="I45" i="4"/>
  <c r="I43" i="4"/>
  <c r="D50" i="4"/>
  <c r="I38" i="4"/>
  <c r="D38" i="4"/>
  <c r="D49" i="4"/>
  <c r="I37" i="4"/>
  <c r="D39" i="4"/>
  <c r="D37" i="4"/>
  <c r="C36" i="4"/>
  <c r="I50" i="4"/>
  <c r="I48" i="4"/>
  <c r="I41" i="4"/>
  <c r="G25" i="3"/>
  <c r="I47" i="3"/>
  <c r="I42" i="3"/>
  <c r="I44" i="3"/>
  <c r="I45" i="3"/>
  <c r="I51" i="3"/>
  <c r="I40" i="3"/>
  <c r="I39" i="3"/>
  <c r="I49" i="3"/>
  <c r="I50" i="3"/>
  <c r="I38" i="3"/>
  <c r="I37" i="3"/>
  <c r="I43" i="3"/>
  <c r="I46" i="3"/>
  <c r="I48" i="3"/>
  <c r="I41" i="3"/>
  <c r="D41" i="3"/>
  <c r="D40" i="3"/>
  <c r="F48" i="3"/>
  <c r="D39" i="3"/>
  <c r="D38" i="3"/>
  <c r="D37" i="3"/>
  <c r="D52" i="3"/>
  <c r="D51" i="3"/>
  <c r="D50" i="3"/>
  <c r="G27" i="3"/>
  <c r="G42" i="3" s="1"/>
  <c r="D49" i="3"/>
  <c r="D48" i="3"/>
  <c r="D47" i="3"/>
  <c r="F42" i="3"/>
  <c r="D45" i="3"/>
  <c r="D44" i="3"/>
  <c r="I42" i="1"/>
  <c r="I49" i="1"/>
  <c r="I43" i="1"/>
  <c r="I37" i="1"/>
  <c r="I38" i="1"/>
  <c r="I40" i="1"/>
  <c r="I46" i="1"/>
  <c r="I51" i="1"/>
  <c r="I45" i="1"/>
  <c r="I44" i="1"/>
  <c r="I50" i="1"/>
  <c r="I47" i="1"/>
  <c r="S5" i="1" l="1"/>
  <c r="D50" i="1"/>
  <c r="D40" i="1"/>
  <c r="D47" i="1"/>
  <c r="D38" i="1"/>
  <c r="D39" i="1"/>
  <c r="D43" i="1"/>
  <c r="E52" i="1"/>
  <c r="D49" i="1"/>
  <c r="D52" i="1"/>
  <c r="C36" i="1"/>
  <c r="L36" i="1" s="1"/>
  <c r="E42" i="1"/>
  <c r="E48" i="1"/>
  <c r="D51" i="1"/>
  <c r="D41" i="1"/>
  <c r="G27" i="1"/>
  <c r="G42" i="1" s="1"/>
  <c r="R7" i="1"/>
  <c r="H43" i="3"/>
  <c r="H44" i="3" s="1"/>
  <c r="H45" i="3" s="1"/>
  <c r="H46" i="3" s="1"/>
  <c r="H47" i="3" s="1"/>
  <c r="H48" i="3" s="1"/>
  <c r="H49" i="3" s="1"/>
  <c r="H50" i="3" s="1"/>
  <c r="H51" i="3" s="1"/>
  <c r="H52" i="3" s="1"/>
  <c r="L36" i="3"/>
  <c r="M36" i="3" s="1"/>
  <c r="D48" i="1"/>
  <c r="D37" i="1"/>
  <c r="D46" i="1"/>
  <c r="D44" i="1"/>
  <c r="D42" i="1"/>
  <c r="E38" i="1"/>
  <c r="E37" i="1"/>
  <c r="E49" i="1"/>
  <c r="E39" i="1"/>
  <c r="E46" i="1"/>
  <c r="E43" i="1"/>
  <c r="E41" i="1"/>
  <c r="E45" i="1"/>
  <c r="E50" i="1"/>
  <c r="E51" i="1"/>
  <c r="E44" i="1"/>
  <c r="E47" i="1"/>
  <c r="K52" i="4"/>
  <c r="K44" i="4"/>
  <c r="K47" i="4"/>
  <c r="K37" i="4"/>
  <c r="K46" i="4"/>
  <c r="K49" i="4"/>
  <c r="K51" i="4"/>
  <c r="K40" i="4"/>
  <c r="K42" i="4"/>
  <c r="K45" i="4"/>
  <c r="K48" i="4"/>
  <c r="E48" i="4"/>
  <c r="E39" i="4"/>
  <c r="E44" i="4"/>
  <c r="E37" i="4"/>
  <c r="E43" i="4"/>
  <c r="E40" i="4"/>
  <c r="E47" i="4"/>
  <c r="E51" i="4"/>
  <c r="E52" i="4"/>
  <c r="E38" i="4"/>
  <c r="E42" i="4"/>
  <c r="E46" i="4"/>
  <c r="E50" i="4"/>
  <c r="E41" i="4"/>
  <c r="E45" i="4"/>
  <c r="E49" i="4"/>
  <c r="K41" i="4"/>
  <c r="K50" i="4"/>
  <c r="K38" i="4"/>
  <c r="H37" i="4"/>
  <c r="H38" i="4" s="1"/>
  <c r="H39" i="4" s="1"/>
  <c r="H40" i="4" s="1"/>
  <c r="H41" i="4" s="1"/>
  <c r="H42" i="4" s="1"/>
  <c r="H43" i="4" s="1"/>
  <c r="H44" i="4" s="1"/>
  <c r="H45" i="4" s="1"/>
  <c r="H46" i="4" s="1"/>
  <c r="H47" i="4" s="1"/>
  <c r="H48" i="4" s="1"/>
  <c r="H49" i="4" s="1"/>
  <c r="H50" i="4" s="1"/>
  <c r="H51" i="4" s="1"/>
  <c r="H52" i="4" s="1"/>
  <c r="L36" i="4"/>
  <c r="K43" i="4"/>
  <c r="K40" i="3"/>
  <c r="K43" i="3"/>
  <c r="K51" i="3"/>
  <c r="K37" i="3"/>
  <c r="K45" i="3"/>
  <c r="K38" i="3"/>
  <c r="K44" i="3"/>
  <c r="K46" i="3"/>
  <c r="K50" i="3"/>
  <c r="K52" i="3"/>
  <c r="K47" i="3"/>
  <c r="K42" i="3"/>
  <c r="K41" i="3"/>
  <c r="K49" i="3"/>
  <c r="K48" i="3"/>
  <c r="K39" i="3"/>
  <c r="E38" i="3"/>
  <c r="E42" i="3"/>
  <c r="E37" i="3"/>
  <c r="E46" i="3"/>
  <c r="E50" i="3"/>
  <c r="E39" i="3"/>
  <c r="E43" i="3"/>
  <c r="E47" i="3"/>
  <c r="E51" i="3"/>
  <c r="E40" i="3"/>
  <c r="E49" i="3"/>
  <c r="E44" i="3"/>
  <c r="E48" i="3"/>
  <c r="E52" i="3"/>
  <c r="E41" i="3"/>
  <c r="E45" i="3"/>
  <c r="K45" i="1"/>
  <c r="K37" i="1"/>
  <c r="K52" i="1"/>
  <c r="K43" i="1"/>
  <c r="H37" i="1"/>
  <c r="H38" i="1" s="1"/>
  <c r="H39" i="1" s="1"/>
  <c r="K38" i="1"/>
  <c r="K50" i="1"/>
  <c r="K44" i="1"/>
  <c r="K42" i="1"/>
  <c r="K51" i="1"/>
  <c r="K46" i="1"/>
  <c r="K47" i="1"/>
  <c r="K40" i="1"/>
  <c r="K49" i="1"/>
  <c r="L40" i="3" l="1"/>
  <c r="N40" i="3" s="1"/>
  <c r="L44" i="3"/>
  <c r="N44" i="3" s="1"/>
  <c r="L37" i="3"/>
  <c r="N37" i="3" s="1"/>
  <c r="L46" i="3"/>
  <c r="N46" i="3" s="1"/>
  <c r="L49" i="3"/>
  <c r="N49" i="3" s="1"/>
  <c r="L45" i="3"/>
  <c r="N45" i="3" s="1"/>
  <c r="L41" i="3"/>
  <c r="N41" i="3" s="1"/>
  <c r="L47" i="3"/>
  <c r="N47" i="3" s="1"/>
  <c r="L42" i="3"/>
  <c r="N42" i="3" s="1"/>
  <c r="L51" i="3"/>
  <c r="N51" i="3" s="1"/>
  <c r="L38" i="3"/>
  <c r="N38" i="3" s="1"/>
  <c r="L52" i="3"/>
  <c r="N52" i="3" s="1"/>
  <c r="L43" i="3"/>
  <c r="N43" i="3" s="1"/>
  <c r="L39" i="3"/>
  <c r="N39" i="3" s="1"/>
  <c r="L48" i="3"/>
  <c r="N48" i="3" s="1"/>
  <c r="L50" i="3"/>
  <c r="N50" i="3" s="1"/>
  <c r="L46" i="4"/>
  <c r="N46" i="4" s="1"/>
  <c r="L42" i="4"/>
  <c r="N42" i="4" s="1"/>
  <c r="L44" i="4"/>
  <c r="N44" i="4" s="1"/>
  <c r="L39" i="4"/>
  <c r="N39" i="4" s="1"/>
  <c r="L41" i="4"/>
  <c r="N41" i="4" s="1"/>
  <c r="L52" i="4"/>
  <c r="N52" i="4" s="1"/>
  <c r="L50" i="4"/>
  <c r="N50" i="4" s="1"/>
  <c r="L49" i="4"/>
  <c r="N49" i="4" s="1"/>
  <c r="L51" i="4"/>
  <c r="N51" i="4" s="1"/>
  <c r="L43" i="4"/>
  <c r="N43" i="4" s="1"/>
  <c r="L45" i="4"/>
  <c r="N45" i="4" s="1"/>
  <c r="L47" i="4"/>
  <c r="N47" i="4" s="1"/>
  <c r="L40" i="4"/>
  <c r="N40" i="4" s="1"/>
  <c r="L37" i="4"/>
  <c r="N37" i="4" s="1"/>
  <c r="L48" i="4"/>
  <c r="N48" i="4" s="1"/>
  <c r="L38" i="4"/>
  <c r="N38" i="4" s="1"/>
  <c r="M36" i="4"/>
  <c r="N36" i="3"/>
  <c r="L38" i="1"/>
  <c r="N38" i="1" s="1"/>
  <c r="L37" i="1"/>
  <c r="N37" i="1" s="1"/>
  <c r="H40" i="1"/>
  <c r="L39" i="1"/>
  <c r="N39" i="1" s="1"/>
  <c r="M36" i="1"/>
  <c r="M37" i="3" l="1"/>
  <c r="M38" i="3"/>
  <c r="J55" i="3"/>
  <c r="D11" i="5" s="1"/>
  <c r="J54" i="3"/>
  <c r="C11" i="5" s="1"/>
  <c r="M44" i="3"/>
  <c r="M43" i="3"/>
  <c r="M48" i="3"/>
  <c r="M41" i="3"/>
  <c r="M49" i="3"/>
  <c r="M52" i="3"/>
  <c r="M45" i="3"/>
  <c r="M50" i="3"/>
  <c r="M46" i="3"/>
  <c r="M47" i="3"/>
  <c r="M42" i="3"/>
  <c r="M39" i="3"/>
  <c r="M51" i="3"/>
  <c r="M40" i="3"/>
  <c r="M37" i="1"/>
  <c r="M38" i="1"/>
  <c r="M39" i="4"/>
  <c r="M52" i="4"/>
  <c r="M41" i="4"/>
  <c r="M47" i="4"/>
  <c r="J55" i="4"/>
  <c r="D12" i="5" s="1"/>
  <c r="M44" i="4"/>
  <c r="M37" i="4"/>
  <c r="M48" i="4"/>
  <c r="M38" i="4"/>
  <c r="M50" i="4"/>
  <c r="N36" i="4"/>
  <c r="J54" i="4"/>
  <c r="C12" i="5" s="1"/>
  <c r="M43" i="4"/>
  <c r="M45" i="4"/>
  <c r="M42" i="4"/>
  <c r="M46" i="4"/>
  <c r="M49" i="4"/>
  <c r="M40" i="4"/>
  <c r="M51" i="4"/>
  <c r="N36" i="1"/>
  <c r="M39" i="1"/>
  <c r="H41" i="1"/>
  <c r="L40" i="1"/>
  <c r="J56" i="3" l="1"/>
  <c r="E11" i="5" s="1"/>
  <c r="J56" i="4"/>
  <c r="E12" i="5" s="1"/>
  <c r="N40" i="1"/>
  <c r="H42" i="1"/>
  <c r="L41" i="1"/>
  <c r="M40" i="1"/>
  <c r="H43" i="1" l="1"/>
  <c r="L42" i="1"/>
  <c r="N41" i="1"/>
  <c r="M41" i="1"/>
  <c r="H44" i="1" l="1"/>
  <c r="L43" i="1"/>
  <c r="N42" i="1"/>
  <c r="M42" i="1"/>
  <c r="N43" i="1" l="1"/>
  <c r="M43" i="1"/>
  <c r="H45" i="1"/>
  <c r="L44" i="1"/>
  <c r="N44" i="1" l="1"/>
  <c r="M44" i="1"/>
  <c r="H46" i="1"/>
  <c r="L45" i="1"/>
  <c r="H47" i="1" l="1"/>
  <c r="L46" i="1"/>
  <c r="N45" i="1"/>
  <c r="M45" i="1"/>
  <c r="N46" i="1" l="1"/>
  <c r="M46" i="1"/>
  <c r="H48" i="1"/>
  <c r="L47" i="1"/>
  <c r="N47" i="1" l="1"/>
  <c r="M47" i="1"/>
  <c r="H49" i="1"/>
  <c r="L48" i="1"/>
  <c r="N48" i="1" l="1"/>
  <c r="M48" i="1"/>
  <c r="H50" i="1"/>
  <c r="L49" i="1"/>
  <c r="N49" i="1" l="1"/>
  <c r="M49" i="1"/>
  <c r="H51" i="1"/>
  <c r="L50" i="1"/>
  <c r="N50" i="1" l="1"/>
  <c r="M50" i="1"/>
  <c r="H52" i="1"/>
  <c r="L52" i="1" s="1"/>
  <c r="L51" i="1"/>
  <c r="N51" i="1" l="1"/>
  <c r="M51" i="1"/>
  <c r="N52" i="1"/>
  <c r="M52" i="1"/>
  <c r="J54" i="1"/>
  <c r="C10" i="5" s="1"/>
  <c r="J55" i="1"/>
  <c r="D10" i="5" s="1"/>
  <c r="J56" i="1" l="1"/>
  <c r="E10" i="5" s="1"/>
</calcChain>
</file>

<file path=xl/sharedStrings.xml><?xml version="1.0" encoding="utf-8"?>
<sst xmlns="http://schemas.openxmlformats.org/spreadsheetml/2006/main" count="287" uniqueCount="124">
  <si>
    <t>2nd Stage of RO</t>
  </si>
  <si>
    <t>RO</t>
  </si>
  <si>
    <t>NPV</t>
  </si>
  <si>
    <r>
      <t>1</t>
    </r>
    <r>
      <rPr>
        <vertAlign val="superscript"/>
        <sz val="12"/>
        <color theme="1"/>
        <rFont val="Times New Roman"/>
        <family val="1"/>
      </rPr>
      <t>st</t>
    </r>
    <r>
      <rPr>
        <sz val="10"/>
        <color theme="1"/>
        <rFont val="Times New Roman"/>
        <family val="1"/>
      </rPr>
      <t xml:space="preserve"> stage of RO</t>
    </r>
    <r>
      <rPr>
        <sz val="12"/>
        <color theme="1"/>
        <rFont val="Times New Roman"/>
        <family val="1"/>
      </rPr>
      <t xml:space="preserve"> ($)</t>
    </r>
  </si>
  <si>
    <r>
      <t>2</t>
    </r>
    <r>
      <rPr>
        <vertAlign val="superscript"/>
        <sz val="10"/>
        <color theme="1"/>
        <rFont val="Times New Roman"/>
        <family val="1"/>
      </rPr>
      <t>nd</t>
    </r>
    <r>
      <rPr>
        <sz val="10"/>
        <color theme="1"/>
        <rFont val="Times New Roman"/>
        <family val="1"/>
      </rPr>
      <t xml:space="preserve"> stage of RO
($)</t>
    </r>
  </si>
  <si>
    <t>SUM
($)</t>
  </si>
  <si>
    <t>IRR</t>
  </si>
  <si>
    <t>2*(86400+43200)</t>
  </si>
  <si>
    <t>PP</t>
  </si>
  <si>
    <t>General specifications</t>
  </si>
  <si>
    <t>Construction</t>
  </si>
  <si>
    <t>Operation</t>
  </si>
  <si>
    <t>Energy costs</t>
  </si>
  <si>
    <t>Revenue</t>
  </si>
  <si>
    <t>Desalination modules</t>
  </si>
  <si>
    <t>Nominal capacity
(m3/d)</t>
  </si>
  <si>
    <t>Recovery rate of each stage
(%)</t>
  </si>
  <si>
    <t>Total recovery rate of the system
(%)</t>
  </si>
  <si>
    <t>Water production capacity
(m3/d)</t>
  </si>
  <si>
    <t xml:space="preserve"> Operation costs of each 1m3 of water*
 (Cent/m3)</t>
  </si>
  <si>
    <t>Total operatio n costs -Cost of desalination by each module ($)</t>
  </si>
  <si>
    <t>Total construction costs-
Cost of desalination by each module (1000$)</t>
  </si>
  <si>
    <t xml:space="preserve">Operation costs to produce 1m3 of water by the system
(Cent/m3) </t>
  </si>
  <si>
    <t>Specific Energy consumption index per each m3*
 (KW-h/m3)</t>
  </si>
  <si>
    <t>Specific Energy consumption index per each module
 (KW-h/m3)</t>
  </si>
  <si>
    <t>Total specific Energy consumption index of the system
 (KW-h/m3)</t>
  </si>
  <si>
    <t xml:space="preserve"> The price of 100 KW-h of energy at peak consumption
(Cent)</t>
  </si>
  <si>
    <t>Total cost of energy ($)</t>
  </si>
  <si>
    <t>Cost of energy consumed to produce 100m3 of water 
(Cent)</t>
  </si>
  <si>
    <t>Year</t>
  </si>
  <si>
    <t>Model's assumptions</t>
  </si>
  <si>
    <t xml:space="preserve">Cosntruction period of the plant, including civil and construction works </t>
  </si>
  <si>
    <t xml:space="preserve"> Operation period of the desalination plant</t>
  </si>
  <si>
    <t xml:space="preserve"> Service life of the equipment for direct calculation of depreciation</t>
  </si>
  <si>
    <t xml:space="preserve"> Service life of RO membrane</t>
  </si>
  <si>
    <t>Costs and revenues - model 1</t>
  </si>
  <si>
    <t>Amount</t>
  </si>
  <si>
    <t>Capital investment costs ($)</t>
  </si>
  <si>
    <t>Annual operation costs ($)</t>
  </si>
  <si>
    <t>Energy consumption cost</t>
  </si>
  <si>
    <t xml:space="preserve">Costs of system overhaul at the 6th year  equivalent to 10% of capital investment </t>
  </si>
  <si>
    <t>Annual water sale revenues ($)</t>
  </si>
  <si>
    <t xml:space="preserve">Depreciation value euivalent to 10% of the capital investment </t>
  </si>
  <si>
    <t>Rate of financing (minimum pay back expected)</t>
  </si>
  <si>
    <t>Tax</t>
  </si>
  <si>
    <t xml:space="preserve"> Rate of increase in the costs of operation and energy</t>
  </si>
  <si>
    <t>Capital investment ($)</t>
  </si>
  <si>
    <t>Operation ($)</t>
  </si>
  <si>
    <t>Energy ($)</t>
  </si>
  <si>
    <t>Membrane replacement ($)</t>
  </si>
  <si>
    <t>Equipment overhaul</t>
  </si>
  <si>
    <t>Depreciation of the purchased equipment, assuming a 15-year service life, direct method of calculation and cost of overhaul depreciation</t>
  </si>
  <si>
    <t>scrap value of equipment</t>
  </si>
  <si>
    <t>Income tax</t>
  </si>
  <si>
    <t>Cash flow</t>
  </si>
  <si>
    <t>Aggregate cash flow</t>
  </si>
  <si>
    <t xml:space="preserve"> </t>
  </si>
  <si>
    <t>1st Stage of RO</t>
  </si>
  <si>
    <t>The internal rate of return (IRR) is the decremental rate, according to which the NPV of the investment plan becomes zero. In other words, it is the decremental rate according to which, the NPV of the income becomes equal to the costs. If the IRR is larger than the rate of interest (e.g. a bank interest rate of 18%), then the plan is feasible and profitable.</t>
  </si>
  <si>
    <t>Pay back period (year)</t>
  </si>
  <si>
    <t>Costs and revenues - model 2</t>
  </si>
  <si>
    <t>NPV of income</t>
  </si>
  <si>
    <t xml:space="preserve">1USD = 300,000 Iranian Rials </t>
  </si>
  <si>
    <t>Assumptions</t>
  </si>
  <si>
    <t>Results</t>
  </si>
  <si>
    <t>Rate of financing (minimum expected rate of return)</t>
  </si>
  <si>
    <t>Growth of operational costs (inflation)</t>
  </si>
  <si>
    <t xml:space="preserve"> The net present value (NPV) is the difference between the present value of income and the present value of the costs at the intended rate of return (15%). If the difference is positive, the project has an economical justification, i.e. the present value of the income is larger than the present value of the costs.</t>
  </si>
  <si>
    <t>The pay back period is the period during which, the capital investment is compensated by the revenues. For the purpose of analysis, it is better for the payback period to be short, since there is less assurance about a distant future than a near one. Thus, the shorter pay back period, the lower the risk of investment.</t>
  </si>
  <si>
    <t xml:space="preserve">Capital cost to produce one m3 of water*
  ($/m3) </t>
  </si>
  <si>
    <t xml:space="preserve">Capital cost to produce 1m3 of water by the system
($/m3)  </t>
  </si>
  <si>
    <t>SBERs</t>
  </si>
  <si>
    <t>Comp. Trea.</t>
  </si>
  <si>
    <t>Serviec life of SBERs and Conventional Treatment</t>
  </si>
  <si>
    <t>Anod plates replacement in SBERs
($)</t>
  </si>
  <si>
    <t xml:space="preserve">SBERs </t>
  </si>
  <si>
    <t>Maintenance and repairs of Water Treatment
($)</t>
  </si>
  <si>
    <t>SBERs
(Treatment of reject brine)</t>
  </si>
  <si>
    <t>SBERs
(Treatment of brackish water)</t>
  </si>
  <si>
    <t>Total operation costs -Cost of desalination by each module ($)</t>
  </si>
  <si>
    <t xml:space="preserve"> The development phase using RO and SBERs +Complementry Treatment</t>
  </si>
  <si>
    <t>Hybrid  Treatment</t>
  </si>
  <si>
    <t xml:space="preserve">Costs of membrane replacement at the 6th and 12th years of operation 
</t>
  </si>
  <si>
    <t xml:space="preserve"> Electrods replacement in SBERs
($)</t>
  </si>
  <si>
    <t>Overhaul maintenance of   Water Treatment
($)</t>
  </si>
  <si>
    <t>Costs of membrane replacement in the RO desalination plant-</t>
  </si>
  <si>
    <t>Costs of membrane replacement in the RO desalination plant - 
Costs of electrods replacement and overhaul maintenance of SBERs and Water treatment</t>
  </si>
  <si>
    <t>Alternative 1</t>
  </si>
  <si>
    <t>Alternative 2</t>
  </si>
  <si>
    <t>Alternative 3</t>
  </si>
  <si>
    <t>Alternatives</t>
  </si>
  <si>
    <t>Alternative 1:The development phase using the 2-stage RO</t>
  </si>
  <si>
    <t xml:space="preserve"> Alternative 1:
The development phase using the 2-stage RO</t>
  </si>
  <si>
    <t xml:space="preserve"> Alternative 2:
The development phase using the 2-stage RO + the SBERs &amp; Conventional Treatmen</t>
  </si>
  <si>
    <t xml:space="preserve"> Alternative 3:
The development phase using RO and SBERs +Complementry Treatment</t>
  </si>
  <si>
    <t xml:space="preserve"> Alternative2:
The development phase using the 2-stage RO + the SBERs &amp; Conventional Treatmen</t>
  </si>
  <si>
    <t>Growth of  Water price</t>
  </si>
  <si>
    <t xml:space="preserve"> Water price</t>
  </si>
  <si>
    <t xml:space="preserve"> Water price
($) </t>
  </si>
  <si>
    <t xml:space="preserve"> Water price revenues
($) </t>
  </si>
  <si>
    <t>revenues generated from  Water price</t>
  </si>
  <si>
    <t xml:space="preserve">  Water price
($) </t>
  </si>
  <si>
    <t>Rate of increase in water  price</t>
  </si>
  <si>
    <t>Rate of increase in water price</t>
  </si>
  <si>
    <t>revenues generated from   Water price</t>
  </si>
  <si>
    <t>Alternatives 2: The development phase using the 2-stage RO + the SBERs &amp; Hybridl Treatmen</t>
  </si>
  <si>
    <t>Alternative 3: The development phase using RO and SBERs +Complementry Treatment</t>
  </si>
  <si>
    <t>Rate of increase in  water price</t>
  </si>
  <si>
    <t>2*(86400+43200)+16*(1562+675)</t>
  </si>
  <si>
    <t>Costs of membrane replacement at the 6th and 12th years of operation-
Costs of electrods replacement and overhaul maintenanace of SBERs for 16 year.</t>
  </si>
  <si>
    <t>Costs of membrane replacement at the 6th and 12th years of operation-
Cost of electrods  replacement and overhaul maintenanace of SBERs for 16 year.</t>
  </si>
  <si>
    <t>The development phase using the 2 stage RO</t>
  </si>
  <si>
    <t xml:space="preserve"> The development phase using the 2stage RO + the SBERs &amp; Hybrid Treatmen</t>
  </si>
  <si>
    <t xml:space="preserve"> The development phase using 
the 2stage RO + the SBERs &amp; Hybrid Treatmen</t>
  </si>
  <si>
    <t xml:space="preserve"> The development phase using the 
2stage RO + the SBERs &amp; Hybrid Treatmen</t>
  </si>
  <si>
    <r>
      <rPr>
        <b/>
        <sz val="11"/>
        <color theme="1"/>
        <rFont val="Calibri"/>
        <family val="2"/>
        <scheme val="minor"/>
      </rPr>
      <t xml:space="preserve">* In scenarios, Drinking water price is equal  US$0.35 and US$1 is equal 300,000 Iranian Rials </t>
    </r>
    <r>
      <rPr>
        <sz val="11"/>
        <color theme="1"/>
        <rFont val="Calibri"/>
        <family val="2"/>
        <scheme val="minor"/>
      </rPr>
      <t xml:space="preserve">. </t>
    </r>
  </si>
  <si>
    <r>
      <t xml:space="preserve">General analysis: </t>
    </r>
    <r>
      <rPr>
        <b/>
        <sz val="11"/>
        <rFont val="Times New Roman"/>
        <family val="1"/>
      </rPr>
      <t>Since at the minimum expected rate (15%) the net present values (NPV) of costs and revenues during a 16-year operation will be positive, the plan's implementation at a water tariff of 1/3 USD (100,000 Iranian Rials) per cubic meter of water will have an economic justification in all the three proposed alternatives; and since their internal rates of return (IRR) are larger than the expected rate of return (15%), the plan at all the three scenarios will be profitable. As the three alternatives have a positive NPV, the one with a higher NPV has a greater justification. Moreover, the plan that has a greater IRR yield to a greater economic return than others. Furthermore,  the plan with a shorter pay back period has a priority over the others. Here, the NPV and IRR of the third alternative are larger than others, while the pay back periods of both alternative 3 and alternative 1 are equal. Therefore, the choice of alternative 3 is more efficient other both alternative 1 and alternative 2.</t>
    </r>
  </si>
  <si>
    <t>Industrial Water Uses
0.12</t>
  </si>
  <si>
    <t>مدل مالی طرح توسعه سامانه نمک زدایی با ظرفیت اسمی  20000 مترمکعب در شبانه روز ( گزینه اول)</t>
  </si>
  <si>
    <t>مدل مالی طرح توسعه سامانه نمک زدایی با ظرفیت اسمی  20000 مترمکعب در شبانه روز ( گزینه دوم)</t>
  </si>
  <si>
    <t>مدل مالی طرح توسعه سامانه نمک زدایی با ظرفیت اسمی  20000 مترمکعب در شبانه روز (گزینه سوم)</t>
  </si>
  <si>
    <t>مقایسه نتایج مدل های مالی سه گزینه طرح توسعه سامانه نمک زدایی با ظرفیت اسمی  20000 مترمکعب در شبانه روز</t>
  </si>
  <si>
    <t xml:space="preserve">                                                             </t>
  </si>
  <si>
    <r>
      <rPr>
        <b/>
        <sz val="14"/>
        <color theme="1"/>
        <rFont val="Calibri"/>
        <family val="2"/>
        <scheme val="minor"/>
      </rPr>
      <t xml:space="preserve">Innovative Sequencing Batch Electrocoagulation Reactors (SBERs) for Brine Treatment in Brackish Water Desalination System                      </t>
    </r>
    <r>
      <rPr>
        <sz val="14"/>
        <color theme="1"/>
        <rFont val="B Titr"/>
        <charset val="17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</si>
</sst>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0.0"/>
    <numFmt numFmtId="166" formatCode="#,##0.0"/>
    <numFmt numFmtId="167" formatCode="_(* #,##0.0_);_(* \(#,##0.0\);_(* &quot;-&quot;??_);_(@_)"/>
    <numFmt numFmtId="168" formatCode="_(* #,##0_);_(* \(#,##0\);_(* &quot;-&quot;??_);_(@_)"/>
  </numFmts>
  <fonts count="25" x14ac:knownFonts="1">
    <font>
      <sz val="11"/>
      <color theme="1"/>
      <name val="Calibri"/>
      <family val="2"/>
      <scheme val="minor"/>
    </font>
    <font>
      <sz val="11"/>
      <color theme="1"/>
      <name val="Calibri"/>
      <family val="2"/>
      <scheme val="minor"/>
    </font>
    <font>
      <b/>
      <sz val="14"/>
      <color theme="1"/>
      <name val="Calibri"/>
      <family val="2"/>
      <scheme val="minor"/>
    </font>
    <font>
      <b/>
      <sz val="11"/>
      <color theme="1"/>
      <name val="Calibri"/>
      <family val="2"/>
      <scheme val="minor"/>
    </font>
    <font>
      <sz val="10"/>
      <color theme="1"/>
      <name val="Calibri"/>
      <family val="2"/>
      <scheme val="minor"/>
    </font>
    <font>
      <sz val="10"/>
      <color theme="1"/>
      <name val="Times New Roman"/>
      <family val="1"/>
    </font>
    <font>
      <vertAlign val="superscript"/>
      <sz val="10"/>
      <color theme="1"/>
      <name val="Times New Roman"/>
      <family val="1"/>
    </font>
    <font>
      <sz val="12"/>
      <color theme="1"/>
      <name val="Times New Roman"/>
      <family val="1"/>
    </font>
    <font>
      <vertAlign val="superscript"/>
      <sz val="12"/>
      <color theme="1"/>
      <name val="Times New Roman"/>
      <family val="1"/>
    </font>
    <font>
      <b/>
      <sz val="12"/>
      <color theme="1"/>
      <name val="Calibri"/>
      <family val="2"/>
      <scheme val="minor"/>
    </font>
    <font>
      <b/>
      <sz val="10"/>
      <color theme="1"/>
      <name val="Calibri"/>
      <family val="2"/>
      <scheme val="minor"/>
    </font>
    <font>
      <b/>
      <sz val="12"/>
      <color theme="1"/>
      <name val="Times New Roman"/>
      <family val="1"/>
    </font>
    <font>
      <sz val="11"/>
      <color theme="1"/>
      <name val="Times New Roman"/>
      <family val="1"/>
    </font>
    <font>
      <b/>
      <sz val="11"/>
      <color theme="1"/>
      <name val="Times New Roman"/>
      <family val="1"/>
    </font>
    <font>
      <b/>
      <sz val="14"/>
      <color theme="1"/>
      <name val="Times New Roman"/>
      <family val="1"/>
    </font>
    <font>
      <b/>
      <sz val="10.5"/>
      <color theme="1"/>
      <name val="Times New Roman"/>
      <family val="1"/>
    </font>
    <font>
      <b/>
      <sz val="11"/>
      <color rgb="FFFF0000"/>
      <name val="Times New Roman"/>
      <family val="1"/>
    </font>
    <font>
      <b/>
      <sz val="11"/>
      <name val="Times New Roman"/>
      <family val="1"/>
    </font>
    <font>
      <sz val="11"/>
      <color rgb="FFFF0000"/>
      <name val="Times New Roman"/>
      <family val="1"/>
    </font>
    <font>
      <b/>
      <sz val="14"/>
      <name val="Times New Roman"/>
      <family val="1"/>
    </font>
    <font>
      <b/>
      <sz val="12"/>
      <name val="Calibri"/>
      <family val="2"/>
      <scheme val="minor"/>
    </font>
    <font>
      <b/>
      <sz val="14"/>
      <name val="B Titr"/>
      <charset val="178"/>
    </font>
    <font>
      <b/>
      <sz val="12"/>
      <name val="B Titr"/>
      <charset val="178"/>
    </font>
    <font>
      <b/>
      <sz val="14"/>
      <color theme="1"/>
      <name val="B Titr"/>
      <charset val="178"/>
    </font>
    <font>
      <sz val="14"/>
      <color theme="1"/>
      <name val="B Titr"/>
      <charset val="178"/>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07">
    <xf numFmtId="0" fontId="0" fillId="0" borderId="0" xfId="0"/>
    <xf numFmtId="0" fontId="0" fillId="0" borderId="0" xfId="0" applyAlignment="1">
      <alignment horizontal="center" vertical="center"/>
    </xf>
    <xf numFmtId="0" fontId="0" fillId="0" borderId="0" xfId="0" applyAlignment="1">
      <alignment vertical="center" wrapText="1"/>
    </xf>
    <xf numFmtId="37" fontId="0" fillId="0" borderId="0" xfId="0" applyNumberFormat="1"/>
    <xf numFmtId="9" fontId="0" fillId="0" borderId="0" xfId="0" applyNumberFormat="1"/>
    <xf numFmtId="0" fontId="4" fillId="0" borderId="43" xfId="0" applyFont="1" applyBorder="1" applyAlignment="1">
      <alignment horizontal="center" vertical="center" wrapText="1" readingOrder="2"/>
    </xf>
    <xf numFmtId="0" fontId="5" fillId="0" borderId="33" xfId="0" applyFont="1" applyBorder="1" applyAlignment="1">
      <alignment horizontal="center" vertical="center" wrapText="1" readingOrder="2"/>
    </xf>
    <xf numFmtId="0" fontId="7" fillId="0" borderId="33" xfId="0" applyFont="1" applyBorder="1" applyAlignment="1">
      <alignment horizontal="center" vertical="center" wrapText="1" readingOrder="2"/>
    </xf>
    <xf numFmtId="3" fontId="4" fillId="0" borderId="42" xfId="1" applyNumberFormat="1" applyFont="1" applyBorder="1" applyAlignment="1">
      <alignment horizontal="center" vertical="center" wrapText="1" readingOrder="2"/>
    </xf>
    <xf numFmtId="0" fontId="10" fillId="0" borderId="42" xfId="0" applyFont="1" applyBorder="1" applyAlignment="1">
      <alignment horizontal="center" vertical="center" wrapText="1" readingOrder="2"/>
    </xf>
    <xf numFmtId="3" fontId="10" fillId="0" borderId="42" xfId="1" applyNumberFormat="1" applyFont="1" applyBorder="1" applyAlignment="1">
      <alignment horizontal="center" vertical="center" wrapText="1" readingOrder="2"/>
    </xf>
    <xf numFmtId="2" fontId="0" fillId="0" borderId="0" xfId="0" applyNumberFormat="1" applyAlignment="1">
      <alignment horizontal="center" vertical="center"/>
    </xf>
    <xf numFmtId="4" fontId="0" fillId="0" borderId="0" xfId="0" applyNumberFormat="1" applyAlignment="1">
      <alignment horizontal="center" vertical="center"/>
    </xf>
    <xf numFmtId="9" fontId="0" fillId="0" borderId="0" xfId="0" applyNumberFormat="1" applyBorder="1" applyAlignment="1">
      <alignment horizontal="center" vertical="center"/>
    </xf>
    <xf numFmtId="0" fontId="0" fillId="0" borderId="0" xfId="0" applyBorder="1" applyAlignment="1">
      <alignment horizontal="center" vertical="center"/>
    </xf>
    <xf numFmtId="3" fontId="0" fillId="0" borderId="0" xfId="0" applyNumberFormat="1"/>
    <xf numFmtId="0" fontId="2" fillId="6" borderId="31" xfId="0" applyFont="1" applyFill="1" applyBorder="1" applyAlignment="1">
      <alignment horizontal="center" vertical="center"/>
    </xf>
    <xf numFmtId="3" fontId="3" fillId="6" borderId="47" xfId="0" applyNumberFormat="1" applyFont="1" applyFill="1" applyBorder="1" applyAlignment="1">
      <alignment horizontal="center" vertical="center"/>
    </xf>
    <xf numFmtId="9" fontId="3" fillId="6" borderId="34" xfId="0" applyNumberFormat="1" applyFont="1" applyFill="1" applyBorder="1" applyAlignment="1">
      <alignment horizontal="center" vertical="center" wrapText="1"/>
    </xf>
    <xf numFmtId="0" fontId="3" fillId="6" borderId="33" xfId="0" applyFont="1" applyFill="1" applyBorder="1" applyAlignment="1">
      <alignment horizontal="center" vertical="center"/>
    </xf>
    <xf numFmtId="0" fontId="3" fillId="0" borderId="0" xfId="0" applyFont="1" applyAlignment="1">
      <alignment horizontal="center" vertical="center"/>
    </xf>
    <xf numFmtId="0" fontId="2" fillId="6" borderId="34" xfId="0" applyFont="1" applyFill="1" applyBorder="1" applyAlignment="1">
      <alignment horizontal="center" vertical="center"/>
    </xf>
    <xf numFmtId="0" fontId="12" fillId="0" borderId="0" xfId="0" applyFont="1"/>
    <xf numFmtId="0" fontId="12" fillId="0" borderId="0" xfId="0" applyFont="1" applyAlignment="1">
      <alignment horizontal="center" vertical="center"/>
    </xf>
    <xf numFmtId="0" fontId="12" fillId="0" borderId="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0" xfId="0" applyFont="1" applyFill="1" applyBorder="1" applyAlignment="1">
      <alignment horizontal="center" vertical="center" wrapText="1"/>
    </xf>
    <xf numFmtId="0" fontId="12" fillId="0" borderId="16" xfId="0" applyFont="1" applyBorder="1" applyAlignment="1">
      <alignment horizontal="center" vertical="center"/>
    </xf>
    <xf numFmtId="0" fontId="12" fillId="0" borderId="28" xfId="0" applyFont="1" applyBorder="1" applyAlignment="1">
      <alignment horizontal="center" vertical="center"/>
    </xf>
    <xf numFmtId="0" fontId="12" fillId="2" borderId="3" xfId="0" applyFont="1" applyFill="1" applyBorder="1" applyAlignment="1">
      <alignment horizontal="center" vertical="center"/>
    </xf>
    <xf numFmtId="1" fontId="12" fillId="2" borderId="3" xfId="0" applyNumberFormat="1" applyFont="1" applyFill="1" applyBorder="1" applyAlignment="1">
      <alignment horizontal="center" vertical="center"/>
    </xf>
    <xf numFmtId="0" fontId="12" fillId="2" borderId="16" xfId="0" applyFont="1" applyFill="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2" borderId="11" xfId="0" applyFont="1" applyFill="1" applyBorder="1" applyAlignment="1">
      <alignment horizontal="center" vertical="center"/>
    </xf>
    <xf numFmtId="1" fontId="12" fillId="2" borderId="11" xfId="0" applyNumberFormat="1" applyFont="1" applyFill="1" applyBorder="1" applyAlignment="1">
      <alignment horizontal="center" vertical="center"/>
    </xf>
    <xf numFmtId="0" fontId="12" fillId="0" borderId="18" xfId="0" applyFont="1" applyBorder="1" applyAlignment="1">
      <alignment horizontal="center" vertical="center"/>
    </xf>
    <xf numFmtId="1" fontId="12" fillId="2" borderId="16"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2" fillId="2" borderId="1" xfId="0" applyFont="1" applyFill="1" applyBorder="1" applyAlignment="1">
      <alignment horizontal="center" vertical="center"/>
    </xf>
    <xf numFmtId="1" fontId="12" fillId="2" borderId="1" xfId="0" applyNumberFormat="1" applyFont="1" applyFill="1" applyBorder="1" applyAlignment="1">
      <alignment horizontal="center" vertical="center"/>
    </xf>
    <xf numFmtId="0" fontId="5" fillId="0" borderId="34" xfId="0" applyFont="1" applyBorder="1" applyAlignment="1">
      <alignment horizontal="center" vertical="center" wrapText="1" readingOrder="2"/>
    </xf>
    <xf numFmtId="3" fontId="5" fillId="0" borderId="42" xfId="1" applyNumberFormat="1" applyFont="1" applyBorder="1" applyAlignment="1">
      <alignment horizontal="center" vertical="center" wrapText="1" readingOrder="2"/>
    </xf>
    <xf numFmtId="3" fontId="5" fillId="0" borderId="43" xfId="1" applyNumberFormat="1" applyFont="1" applyBorder="1" applyAlignment="1">
      <alignment horizontal="center" vertical="center" wrapText="1" readingOrder="2"/>
    </xf>
    <xf numFmtId="168" fontId="12" fillId="0" borderId="0" xfId="1" applyNumberFormat="1" applyFont="1"/>
    <xf numFmtId="167" fontId="12" fillId="0" borderId="0" xfId="1" applyNumberFormat="1" applyFont="1"/>
    <xf numFmtId="0" fontId="13" fillId="3" borderId="4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12" fillId="0" borderId="0" xfId="0" applyFont="1" applyAlignment="1">
      <alignment vertical="center" wrapText="1"/>
    </xf>
    <xf numFmtId="0" fontId="14" fillId="6" borderId="33" xfId="0" applyFont="1" applyFill="1" applyBorder="1" applyAlignment="1">
      <alignment horizontal="center" vertical="center"/>
    </xf>
    <xf numFmtId="3" fontId="13" fillId="6" borderId="47" xfId="0" applyNumberFormat="1" applyFont="1" applyFill="1" applyBorder="1" applyAlignment="1">
      <alignment horizontal="center" vertical="center"/>
    </xf>
    <xf numFmtId="0" fontId="12" fillId="0" borderId="51" xfId="0" applyFont="1" applyBorder="1" applyAlignment="1">
      <alignment vertical="center"/>
    </xf>
    <xf numFmtId="0" fontId="12" fillId="0" borderId="0" xfId="0" applyFont="1" applyAlignment="1">
      <alignment vertical="center"/>
    </xf>
    <xf numFmtId="0" fontId="14" fillId="6" borderId="31" xfId="0" applyFont="1" applyFill="1" applyBorder="1" applyAlignment="1">
      <alignment horizontal="center" vertical="center"/>
    </xf>
    <xf numFmtId="9" fontId="13" fillId="6" borderId="34" xfId="0" applyNumberFormat="1"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33" xfId="0" applyFont="1" applyFill="1" applyBorder="1" applyAlignment="1">
      <alignment horizontal="center" vertical="center"/>
    </xf>
    <xf numFmtId="0" fontId="15" fillId="3" borderId="49"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30" xfId="0" applyFont="1" applyFill="1" applyBorder="1" applyAlignment="1">
      <alignment horizontal="center" vertical="center" wrapText="1"/>
    </xf>
    <xf numFmtId="0" fontId="12" fillId="8" borderId="38"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2" fillId="2" borderId="3" xfId="0" applyFont="1" applyFill="1" applyBorder="1" applyAlignment="1">
      <alignment horizontal="center" vertical="center"/>
    </xf>
    <xf numFmtId="0" fontId="12" fillId="0" borderId="1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2" fillId="2" borderId="0" xfId="0" applyFont="1" applyFill="1" applyBorder="1" applyAlignment="1">
      <alignment horizontal="center" vertical="center"/>
    </xf>
    <xf numFmtId="1" fontId="12" fillId="2" borderId="0" xfId="0" applyNumberFormat="1" applyFont="1" applyFill="1" applyBorder="1" applyAlignment="1">
      <alignment horizontal="center" vertical="center"/>
    </xf>
    <xf numFmtId="0" fontId="7" fillId="0" borderId="43" xfId="0" applyFont="1" applyBorder="1" applyAlignment="1">
      <alignment horizontal="center" vertical="center" wrapText="1" readingOrder="2"/>
    </xf>
    <xf numFmtId="0" fontId="12" fillId="0" borderId="2" xfId="0" applyFont="1" applyBorder="1" applyAlignment="1">
      <alignment horizontal="center" vertical="center"/>
    </xf>
    <xf numFmtId="0" fontId="12" fillId="0" borderId="13" xfId="0" applyFont="1" applyBorder="1" applyAlignment="1">
      <alignment horizontal="center" vertical="center"/>
    </xf>
    <xf numFmtId="0" fontId="12" fillId="2" borderId="2" xfId="0" applyFont="1" applyFill="1" applyBorder="1" applyAlignment="1">
      <alignment horizontal="center" vertical="center"/>
    </xf>
    <xf numFmtId="1" fontId="12" fillId="2" borderId="2" xfId="0" applyNumberFormat="1" applyFont="1" applyFill="1" applyBorder="1" applyAlignment="1">
      <alignment horizontal="center" vertical="center"/>
    </xf>
    <xf numFmtId="0" fontId="12" fillId="0" borderId="16" xfId="0" applyFont="1" applyBorder="1" applyAlignment="1">
      <alignment horizontal="center" vertical="center" wrapText="1"/>
    </xf>
    <xf numFmtId="0" fontId="12" fillId="0" borderId="25"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12" fillId="0" borderId="42" xfId="0" applyFont="1" applyBorder="1" applyAlignment="1">
      <alignment horizontal="center" vertical="center"/>
    </xf>
    <xf numFmtId="0" fontId="12" fillId="5" borderId="34" xfId="0" applyFont="1" applyFill="1" applyBorder="1" applyAlignment="1">
      <alignment horizontal="center" vertical="center"/>
    </xf>
    <xf numFmtId="0" fontId="12" fillId="0" borderId="54"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61" xfId="0" applyFont="1" applyBorder="1" applyAlignment="1">
      <alignment horizontal="center" vertical="center" wrapText="1"/>
    </xf>
    <xf numFmtId="0" fontId="12" fillId="2" borderId="55"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8" xfId="0" applyFont="1" applyFill="1" applyBorder="1" applyAlignment="1">
      <alignment horizontal="center" vertical="center"/>
    </xf>
    <xf numFmtId="0" fontId="12" fillId="2" borderId="56" xfId="0" applyFont="1" applyFill="1" applyBorder="1" applyAlignment="1">
      <alignment horizontal="center" vertical="center"/>
    </xf>
    <xf numFmtId="0" fontId="0" fillId="0" borderId="67" xfId="0" applyBorder="1" applyAlignment="1">
      <alignment horizontal="center" vertical="center" wrapText="1"/>
    </xf>
    <xf numFmtId="0" fontId="12" fillId="0" borderId="67" xfId="0" applyFont="1" applyBorder="1" applyAlignment="1">
      <alignment horizontal="center" vertical="center" wrapText="1"/>
    </xf>
    <xf numFmtId="0" fontId="12" fillId="0" borderId="67" xfId="0" applyFont="1" applyBorder="1" applyAlignment="1">
      <alignment horizontal="center" vertical="center"/>
    </xf>
    <xf numFmtId="0" fontId="0" fillId="0" borderId="67" xfId="0" applyBorder="1" applyAlignment="1">
      <alignment horizontal="center" vertical="center"/>
    </xf>
    <xf numFmtId="0" fontId="0" fillId="0" borderId="0" xfId="0" applyBorder="1"/>
    <xf numFmtId="0" fontId="0" fillId="0" borderId="0" xfId="0" applyBorder="1" applyAlignment="1">
      <alignment horizontal="center" vertical="center" wrapText="1"/>
    </xf>
    <xf numFmtId="3" fontId="12" fillId="0" borderId="56" xfId="1" applyNumberFormat="1" applyFont="1" applyBorder="1" applyAlignment="1">
      <alignment horizontal="center" vertical="center"/>
    </xf>
    <xf numFmtId="3" fontId="12" fillId="0" borderId="66" xfId="1" applyNumberFormat="1" applyFont="1" applyBorder="1" applyAlignment="1">
      <alignment horizontal="center" vertical="center"/>
    </xf>
    <xf numFmtId="9" fontId="12" fillId="5" borderId="66" xfId="2" applyFont="1" applyFill="1" applyBorder="1" applyAlignment="1">
      <alignment horizontal="center" vertical="center"/>
    </xf>
    <xf numFmtId="9" fontId="12" fillId="5" borderId="58" xfId="2" applyFont="1" applyFill="1" applyBorder="1" applyAlignment="1">
      <alignment horizontal="center" vertical="center"/>
    </xf>
    <xf numFmtId="9" fontId="12" fillId="5" borderId="61" xfId="2" applyFont="1" applyFill="1" applyBorder="1" applyAlignment="1">
      <alignment horizontal="center" vertical="center"/>
    </xf>
    <xf numFmtId="0" fontId="13" fillId="3" borderId="71" xfId="0" applyFont="1" applyFill="1" applyBorder="1" applyAlignment="1">
      <alignment horizontal="center" vertical="center" wrapText="1"/>
    </xf>
    <xf numFmtId="0" fontId="15" fillId="3" borderId="71" xfId="0" applyFont="1" applyFill="1" applyBorder="1" applyAlignment="1">
      <alignment horizontal="center" vertical="center" wrapText="1"/>
    </xf>
    <xf numFmtId="0" fontId="13" fillId="4" borderId="71" xfId="0" applyFont="1" applyFill="1" applyBorder="1" applyAlignment="1">
      <alignment horizontal="center" vertical="center" wrapText="1"/>
    </xf>
    <xf numFmtId="0" fontId="12" fillId="8" borderId="57" xfId="0" applyFont="1" applyFill="1" applyBorder="1" applyAlignment="1">
      <alignment horizontal="center"/>
    </xf>
    <xf numFmtId="3" fontId="12" fillId="0" borderId="57" xfId="1" applyNumberFormat="1" applyFont="1" applyBorder="1" applyAlignment="1">
      <alignment horizontal="center" vertical="center"/>
    </xf>
    <xf numFmtId="0" fontId="12" fillId="0" borderId="57" xfId="1" applyNumberFormat="1" applyFont="1" applyBorder="1" applyAlignment="1">
      <alignment horizontal="center" vertical="center"/>
    </xf>
    <xf numFmtId="0" fontId="12" fillId="0" borderId="57" xfId="0" applyNumberFormat="1" applyFont="1" applyBorder="1"/>
    <xf numFmtId="0" fontId="12" fillId="0" borderId="57" xfId="1" applyNumberFormat="1" applyFont="1" applyFill="1" applyBorder="1" applyAlignment="1">
      <alignment horizontal="center" vertical="center"/>
    </xf>
    <xf numFmtId="0" fontId="12" fillId="7" borderId="57" xfId="1" applyNumberFormat="1" applyFont="1" applyFill="1" applyBorder="1" applyAlignment="1">
      <alignment horizontal="center" vertical="center"/>
    </xf>
    <xf numFmtId="0" fontId="12" fillId="8" borderId="57" xfId="0" applyNumberFormat="1" applyFont="1" applyFill="1" applyBorder="1" applyAlignment="1">
      <alignment horizontal="center" vertical="center"/>
    </xf>
    <xf numFmtId="0" fontId="12" fillId="8" borderId="56" xfId="0" applyFont="1" applyFill="1" applyBorder="1" applyAlignment="1">
      <alignment horizontal="center"/>
    </xf>
    <xf numFmtId="0" fontId="12" fillId="0" borderId="56" xfId="1" applyNumberFormat="1" applyFont="1" applyBorder="1" applyAlignment="1">
      <alignment horizontal="center" vertical="center"/>
    </xf>
    <xf numFmtId="0" fontId="12" fillId="0" borderId="60" xfId="0" applyNumberFormat="1" applyFont="1" applyBorder="1"/>
    <xf numFmtId="0" fontId="12" fillId="7" borderId="56" xfId="1" applyNumberFormat="1" applyFont="1" applyFill="1" applyBorder="1" applyAlignment="1">
      <alignment horizontal="center" vertical="center"/>
    </xf>
    <xf numFmtId="0" fontId="12" fillId="8" borderId="56" xfId="0" applyNumberFormat="1" applyFont="1" applyFill="1" applyBorder="1" applyAlignment="1">
      <alignment horizontal="center" vertical="center"/>
    </xf>
    <xf numFmtId="0" fontId="12" fillId="8" borderId="66" xfId="0" applyFont="1" applyFill="1" applyBorder="1" applyAlignment="1">
      <alignment horizontal="center"/>
    </xf>
    <xf numFmtId="0" fontId="12" fillId="0" borderId="66" xfId="1" applyNumberFormat="1" applyFont="1" applyBorder="1" applyAlignment="1">
      <alignment horizontal="center" vertical="center"/>
    </xf>
    <xf numFmtId="0" fontId="12" fillId="0" borderId="66" xfId="0" applyNumberFormat="1" applyFont="1" applyBorder="1"/>
    <xf numFmtId="0" fontId="12" fillId="7" borderId="66" xfId="1" applyNumberFormat="1" applyFont="1" applyFill="1" applyBorder="1" applyAlignment="1">
      <alignment horizontal="center" vertical="center"/>
    </xf>
    <xf numFmtId="0" fontId="12" fillId="8" borderId="66" xfId="0" applyNumberFormat="1" applyFont="1" applyFill="1" applyBorder="1" applyAlignment="1">
      <alignment horizontal="center" vertical="center"/>
    </xf>
    <xf numFmtId="0" fontId="12" fillId="0" borderId="60" xfId="1" applyNumberFormat="1" applyFont="1" applyBorder="1" applyAlignment="1">
      <alignment horizontal="center" vertical="center"/>
    </xf>
    <xf numFmtId="0" fontId="12" fillId="8" borderId="61" xfId="0" applyFont="1" applyFill="1" applyBorder="1" applyAlignment="1">
      <alignment horizontal="center"/>
    </xf>
    <xf numFmtId="3" fontId="12" fillId="0" borderId="61" xfId="1" applyNumberFormat="1" applyFont="1" applyBorder="1" applyAlignment="1">
      <alignment horizontal="center" vertical="center"/>
    </xf>
    <xf numFmtId="0" fontId="12" fillId="0" borderId="61" xfId="0" applyFont="1" applyBorder="1"/>
    <xf numFmtId="3" fontId="12" fillId="0" borderId="42" xfId="1" applyNumberFormat="1" applyFont="1" applyBorder="1" applyAlignment="1">
      <alignment horizontal="center" vertical="center"/>
    </xf>
    <xf numFmtId="37" fontId="12" fillId="7" borderId="61" xfId="1" applyNumberFormat="1" applyFont="1" applyFill="1" applyBorder="1" applyAlignment="1">
      <alignment horizontal="center" vertical="center"/>
    </xf>
    <xf numFmtId="3" fontId="12" fillId="8" borderId="61" xfId="0" applyNumberFormat="1" applyFont="1"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42" xfId="0" applyBorder="1" applyAlignment="1">
      <alignment horizontal="center" vertical="center"/>
    </xf>
    <xf numFmtId="3" fontId="0" fillId="0" borderId="56" xfId="1" applyNumberFormat="1" applyFont="1" applyBorder="1" applyAlignment="1">
      <alignment horizontal="center" vertical="center"/>
    </xf>
    <xf numFmtId="3" fontId="0" fillId="0" borderId="66" xfId="1" applyNumberFormat="1" applyFont="1" applyBorder="1" applyAlignment="1">
      <alignment horizontal="center" vertical="center"/>
    </xf>
    <xf numFmtId="9" fontId="0" fillId="5" borderId="66" xfId="2" applyFont="1" applyFill="1" applyBorder="1" applyAlignment="1">
      <alignment horizontal="center" vertical="center"/>
    </xf>
    <xf numFmtId="9" fontId="0" fillId="5" borderId="58" xfId="2" applyFont="1" applyFill="1" applyBorder="1" applyAlignment="1">
      <alignment horizontal="center" vertical="center"/>
    </xf>
    <xf numFmtId="9" fontId="0" fillId="5" borderId="61" xfId="2" applyFont="1" applyFill="1" applyBorder="1" applyAlignment="1">
      <alignment horizontal="center" vertical="center"/>
    </xf>
    <xf numFmtId="0" fontId="0" fillId="8" borderId="57" xfId="0" applyFill="1" applyBorder="1" applyAlignment="1">
      <alignment horizontal="center"/>
    </xf>
    <xf numFmtId="0" fontId="0" fillId="0" borderId="57" xfId="1" applyNumberFormat="1" applyFont="1" applyBorder="1" applyAlignment="1">
      <alignment horizontal="center" vertical="center"/>
    </xf>
    <xf numFmtId="0" fontId="0" fillId="0" borderId="57" xfId="0" applyNumberFormat="1" applyBorder="1"/>
    <xf numFmtId="0" fontId="0" fillId="0" borderId="57" xfId="1" applyNumberFormat="1" applyFont="1" applyFill="1" applyBorder="1" applyAlignment="1">
      <alignment horizontal="center" vertical="center"/>
    </xf>
    <xf numFmtId="0" fontId="0" fillId="7" borderId="57" xfId="1" applyNumberFormat="1" applyFont="1" applyFill="1" applyBorder="1" applyAlignment="1">
      <alignment horizontal="center" vertical="center"/>
    </xf>
    <xf numFmtId="0" fontId="0" fillId="8" borderId="57" xfId="0" applyNumberFormat="1" applyFill="1" applyBorder="1" applyAlignment="1">
      <alignment horizontal="center" vertical="center"/>
    </xf>
    <xf numFmtId="0" fontId="0" fillId="8" borderId="66" xfId="0" applyFill="1" applyBorder="1" applyAlignment="1">
      <alignment horizontal="center"/>
    </xf>
    <xf numFmtId="0" fontId="0" fillId="0" borderId="66" xfId="1" applyNumberFormat="1" applyFont="1" applyBorder="1" applyAlignment="1">
      <alignment horizontal="center" vertical="center"/>
    </xf>
    <xf numFmtId="0" fontId="0" fillId="0" borderId="66" xfId="0" applyNumberFormat="1" applyBorder="1"/>
    <xf numFmtId="0" fontId="0" fillId="7" borderId="66" xfId="1" applyNumberFormat="1" applyFont="1" applyFill="1" applyBorder="1" applyAlignment="1">
      <alignment horizontal="center" vertical="center"/>
    </xf>
    <xf numFmtId="0" fontId="0" fillId="8" borderId="66" xfId="0" applyNumberFormat="1" applyFill="1" applyBorder="1" applyAlignment="1">
      <alignment horizontal="center" vertical="center"/>
    </xf>
    <xf numFmtId="0" fontId="0" fillId="8" borderId="61" xfId="0" applyFill="1" applyBorder="1" applyAlignment="1">
      <alignment horizontal="center"/>
    </xf>
    <xf numFmtId="0" fontId="0" fillId="0" borderId="61" xfId="1" applyNumberFormat="1" applyFont="1" applyBorder="1" applyAlignment="1">
      <alignment horizontal="center" vertical="center"/>
    </xf>
    <xf numFmtId="0" fontId="0" fillId="0" borderId="61" xfId="0" applyNumberFormat="1" applyBorder="1"/>
    <xf numFmtId="0" fontId="0" fillId="7" borderId="61" xfId="1" applyNumberFormat="1" applyFont="1" applyFill="1" applyBorder="1" applyAlignment="1">
      <alignment horizontal="center" vertical="center"/>
    </xf>
    <xf numFmtId="0" fontId="0" fillId="8" borderId="61" xfId="0" applyNumberFormat="1" applyFill="1" applyBorder="1" applyAlignment="1">
      <alignment horizontal="center" vertical="center"/>
    </xf>
    <xf numFmtId="0" fontId="13" fillId="3" borderId="55" xfId="0" applyFont="1" applyFill="1" applyBorder="1" applyAlignment="1">
      <alignment horizontal="center" vertical="center" wrapText="1"/>
    </xf>
    <xf numFmtId="0" fontId="15" fillId="3" borderId="55" xfId="0" applyFont="1" applyFill="1" applyBorder="1" applyAlignment="1">
      <alignment horizontal="center" vertical="center" wrapText="1"/>
    </xf>
    <xf numFmtId="0" fontId="13" fillId="4" borderId="55" xfId="0" applyFont="1" applyFill="1" applyBorder="1" applyAlignment="1">
      <alignment horizontal="center" vertical="center" wrapText="1"/>
    </xf>
    <xf numFmtId="0" fontId="0" fillId="0" borderId="66" xfId="1" applyNumberFormat="1" applyFont="1" applyFill="1" applyBorder="1" applyAlignment="1">
      <alignment horizontal="center" vertical="center"/>
    </xf>
    <xf numFmtId="3" fontId="0" fillId="0" borderId="61" xfId="1" applyNumberFormat="1" applyFont="1" applyBorder="1" applyAlignment="1">
      <alignment horizontal="center" vertical="center"/>
    </xf>
    <xf numFmtId="0" fontId="3" fillId="2" borderId="34" xfId="0" applyFont="1" applyFill="1" applyBorder="1" applyAlignment="1">
      <alignment horizontal="center" vertical="center"/>
    </xf>
    <xf numFmtId="0" fontId="3" fillId="2" borderId="34" xfId="0" applyFont="1" applyFill="1" applyBorder="1" applyAlignment="1">
      <alignment horizontal="center" vertical="center" wrapText="1"/>
    </xf>
    <xf numFmtId="3" fontId="9" fillId="0" borderId="42" xfId="1" applyNumberFormat="1" applyFont="1" applyFill="1" applyBorder="1" applyAlignment="1">
      <alignment horizontal="center" vertical="center" wrapText="1" readingOrder="2"/>
    </xf>
    <xf numFmtId="4" fontId="9" fillId="0" borderId="42" xfId="1" applyNumberFormat="1" applyFont="1" applyFill="1" applyBorder="1" applyAlignment="1">
      <alignment horizontal="center" vertical="center" wrapText="1" readingOrder="2"/>
    </xf>
    <xf numFmtId="9" fontId="11" fillId="10" borderId="42" xfId="2" applyFont="1" applyFill="1" applyBorder="1" applyAlignment="1">
      <alignment horizontal="center" vertical="center" wrapText="1" readingOrder="2"/>
    </xf>
    <xf numFmtId="4" fontId="9" fillId="10" borderId="42" xfId="1" applyNumberFormat="1" applyFont="1" applyFill="1" applyBorder="1" applyAlignment="1">
      <alignment horizontal="center" vertical="center" wrapText="1" readingOrder="2"/>
    </xf>
    <xf numFmtId="9" fontId="9" fillId="10" borderId="42" xfId="2" applyFont="1" applyFill="1" applyBorder="1" applyAlignment="1">
      <alignment horizontal="center" vertical="center" wrapText="1" readingOrder="2"/>
    </xf>
    <xf numFmtId="3" fontId="2" fillId="6" borderId="42" xfId="1" applyNumberFormat="1" applyFont="1" applyFill="1" applyBorder="1" applyAlignment="1">
      <alignment horizontal="center" vertical="center" wrapText="1" readingOrder="2"/>
    </xf>
    <xf numFmtId="4" fontId="2" fillId="6" borderId="42" xfId="1" applyNumberFormat="1" applyFont="1" applyFill="1" applyBorder="1" applyAlignment="1">
      <alignment horizontal="center" vertical="center" wrapText="1" readingOrder="2"/>
    </xf>
    <xf numFmtId="0" fontId="20" fillId="5" borderId="32" xfId="0" applyFont="1" applyFill="1" applyBorder="1" applyAlignment="1">
      <alignment vertical="center" wrapText="1"/>
    </xf>
    <xf numFmtId="0" fontId="20" fillId="0" borderId="0" xfId="0" applyFont="1" applyFill="1" applyBorder="1" applyAlignment="1">
      <alignment vertical="center" wrapText="1"/>
    </xf>
    <xf numFmtId="0" fontId="18" fillId="0" borderId="32" xfId="0" applyFont="1" applyBorder="1" applyAlignment="1">
      <alignment vertical="center" wrapText="1"/>
    </xf>
    <xf numFmtId="0" fontId="18" fillId="0" borderId="0" xfId="0" applyFont="1" applyBorder="1" applyAlignment="1">
      <alignment vertical="center" wrapText="1"/>
    </xf>
    <xf numFmtId="0" fontId="12" fillId="2" borderId="8" xfId="0" applyFont="1" applyFill="1" applyBorder="1" applyAlignment="1">
      <alignment horizontal="center" vertical="center"/>
    </xf>
    <xf numFmtId="0" fontId="12" fillId="2" borderId="14" xfId="0" applyFont="1" applyFill="1" applyBorder="1" applyAlignment="1">
      <alignment horizontal="center" vertical="center"/>
    </xf>
    <xf numFmtId="0" fontId="0" fillId="0" borderId="41" xfId="0" applyBorder="1" applyAlignment="1">
      <alignment horizontal="center" vertical="center"/>
    </xf>
    <xf numFmtId="1" fontId="12" fillId="8" borderId="8" xfId="0" applyNumberFormat="1" applyFont="1" applyFill="1" applyBorder="1" applyAlignment="1">
      <alignment horizontal="center" vertical="center"/>
    </xf>
    <xf numFmtId="1" fontId="12" fillId="8" borderId="14" xfId="0" applyNumberFormat="1" applyFont="1" applyFill="1" applyBorder="1" applyAlignment="1">
      <alignment horizontal="center" vertical="center"/>
    </xf>
    <xf numFmtId="0" fontId="0" fillId="0" borderId="12" xfId="0" applyBorder="1" applyAlignment="1">
      <alignment horizontal="center" vertical="center"/>
    </xf>
    <xf numFmtId="2" fontId="12" fillId="8" borderId="8" xfId="0" applyNumberFormat="1" applyFont="1" applyFill="1" applyBorder="1" applyAlignment="1">
      <alignment horizontal="center" vertical="center"/>
    </xf>
    <xf numFmtId="2" fontId="12" fillId="8" borderId="14" xfId="0" applyNumberFormat="1" applyFont="1" applyFill="1" applyBorder="1" applyAlignment="1">
      <alignment horizontal="center" vertical="center"/>
    </xf>
    <xf numFmtId="0" fontId="12" fillId="2" borderId="64" xfId="0" applyFont="1" applyFill="1" applyBorder="1" applyAlignment="1">
      <alignment horizontal="center" vertical="center"/>
    </xf>
    <xf numFmtId="0" fontId="12" fillId="2" borderId="53" xfId="0" applyFont="1" applyFill="1" applyBorder="1" applyAlignment="1">
      <alignment horizontal="center" vertical="center"/>
    </xf>
    <xf numFmtId="0" fontId="0" fillId="0" borderId="52" xfId="0" applyBorder="1" applyAlignment="1">
      <alignment horizontal="center" vertical="center"/>
    </xf>
    <xf numFmtId="0" fontId="12" fillId="0" borderId="20" xfId="0" applyFont="1" applyBorder="1" applyAlignment="1">
      <alignment horizontal="center" vertical="center"/>
    </xf>
    <xf numFmtId="0" fontId="12" fillId="0" borderId="5" xfId="0" applyFont="1" applyBorder="1" applyAlignment="1">
      <alignment horizontal="center" vertical="center"/>
    </xf>
    <xf numFmtId="0" fontId="0" fillId="0" borderId="3" xfId="0" applyBorder="1" applyAlignment="1">
      <alignment horizontal="center" vertical="center"/>
    </xf>
    <xf numFmtId="166" fontId="12" fillId="0" borderId="20" xfId="1" applyNumberFormat="1" applyFont="1" applyBorder="1" applyAlignment="1">
      <alignment horizontal="center" vertical="center"/>
    </xf>
    <xf numFmtId="166" fontId="12" fillId="0" borderId="5" xfId="1" applyNumberFormat="1" applyFont="1" applyBorder="1" applyAlignment="1">
      <alignment horizontal="center" vertical="center"/>
    </xf>
    <xf numFmtId="0" fontId="21" fillId="5" borderId="31" xfId="0" applyFont="1" applyFill="1" applyBorder="1" applyAlignment="1">
      <alignment horizontal="center" vertical="center"/>
    </xf>
    <xf numFmtId="0" fontId="19" fillId="5" borderId="32" xfId="0" applyFont="1" applyFill="1" applyBorder="1" applyAlignment="1">
      <alignment horizontal="center" vertical="center"/>
    </xf>
    <xf numFmtId="0" fontId="19" fillId="5" borderId="33" xfId="0" applyFont="1" applyFill="1" applyBorder="1" applyAlignment="1">
      <alignment horizontal="center" vertical="center"/>
    </xf>
    <xf numFmtId="0" fontId="12" fillId="9" borderId="7" xfId="0" applyFont="1" applyFill="1" applyBorder="1" applyAlignment="1">
      <alignment horizontal="center" vertical="center"/>
    </xf>
    <xf numFmtId="0" fontId="12" fillId="9" borderId="26"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32" xfId="0" applyFont="1" applyFill="1" applyBorder="1" applyAlignment="1">
      <alignment horizontal="center" vertical="center"/>
    </xf>
    <xf numFmtId="0" fontId="12" fillId="0" borderId="7" xfId="0" applyFont="1" applyBorder="1" applyAlignment="1">
      <alignment horizontal="left" vertical="center"/>
    </xf>
    <xf numFmtId="0" fontId="12" fillId="0" borderId="25" xfId="0" applyFont="1" applyBorder="1" applyAlignment="1">
      <alignment horizontal="left" vertical="center"/>
    </xf>
    <xf numFmtId="0" fontId="12" fillId="0" borderId="37" xfId="0" applyFont="1" applyBorder="1" applyAlignment="1">
      <alignment horizontal="left" vertical="center"/>
    </xf>
    <xf numFmtId="0" fontId="12" fillId="0" borderId="39" xfId="0" applyFont="1" applyBorder="1" applyAlignment="1">
      <alignment horizontal="left" vertical="center"/>
    </xf>
    <xf numFmtId="0" fontId="12" fillId="9" borderId="2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29" xfId="0" applyFont="1" applyFill="1" applyBorder="1" applyAlignment="1">
      <alignment horizontal="center" vertical="center" wrapText="1"/>
    </xf>
    <xf numFmtId="0" fontId="12" fillId="0" borderId="23" xfId="0" applyFont="1" applyBorder="1" applyAlignment="1">
      <alignment horizontal="center" vertical="center"/>
    </xf>
    <xf numFmtId="0" fontId="0" fillId="0" borderId="5" xfId="0" applyBorder="1" applyAlignment="1">
      <alignment horizontal="center" vertical="center"/>
    </xf>
    <xf numFmtId="0" fontId="0" fillId="0" borderId="23" xfId="0" applyBorder="1" applyAlignment="1">
      <alignment horizontal="center" vertical="center"/>
    </xf>
    <xf numFmtId="165" fontId="12" fillId="8" borderId="14" xfId="0" applyNumberFormat="1" applyFont="1" applyFill="1" applyBorder="1" applyAlignment="1">
      <alignment horizontal="center" vertical="center"/>
    </xf>
    <xf numFmtId="0" fontId="0" fillId="0" borderId="14" xfId="0" applyBorder="1" applyAlignment="1">
      <alignment horizontal="center" vertical="center"/>
    </xf>
    <xf numFmtId="0" fontId="12" fillId="8" borderId="55" xfId="0" applyFont="1" applyFill="1" applyBorder="1" applyAlignment="1">
      <alignment horizontal="center" vertical="center"/>
    </xf>
    <xf numFmtId="0" fontId="12" fillId="8" borderId="58" xfId="0" applyFont="1" applyFill="1" applyBorder="1" applyAlignment="1">
      <alignment horizontal="center" vertical="center"/>
    </xf>
    <xf numFmtId="0" fontId="12" fillId="8" borderId="8" xfId="0" applyFont="1" applyFill="1" applyBorder="1" applyAlignment="1">
      <alignment horizontal="center" vertical="center"/>
    </xf>
    <xf numFmtId="0" fontId="12" fillId="8" borderId="12" xfId="0" applyFont="1" applyFill="1" applyBorder="1" applyAlignment="1">
      <alignment horizontal="center" vertical="center"/>
    </xf>
    <xf numFmtId="0" fontId="12" fillId="2" borderId="12" xfId="0" applyFont="1" applyFill="1" applyBorder="1" applyAlignment="1">
      <alignment horizontal="center" vertical="center"/>
    </xf>
    <xf numFmtId="166" fontId="12" fillId="0" borderId="23" xfId="1" applyNumberFormat="1" applyFont="1" applyBorder="1" applyAlignment="1">
      <alignment horizontal="center" vertical="center"/>
    </xf>
    <xf numFmtId="2" fontId="12" fillId="6" borderId="18" xfId="0" applyNumberFormat="1" applyFont="1" applyFill="1" applyBorder="1" applyAlignment="1">
      <alignment horizontal="center" vertical="center"/>
    </xf>
    <xf numFmtId="2" fontId="12" fillId="6" borderId="10" xfId="0" applyNumberFormat="1" applyFont="1" applyFill="1" applyBorder="1" applyAlignment="1">
      <alignment horizontal="center" vertical="center"/>
    </xf>
    <xf numFmtId="2" fontId="12" fillId="6" borderId="24" xfId="0" applyNumberFormat="1" applyFont="1" applyFill="1"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12" fillId="2" borderId="65" xfId="0" applyFont="1" applyFill="1" applyBorder="1" applyAlignment="1">
      <alignment horizontal="center" vertical="center"/>
    </xf>
    <xf numFmtId="165" fontId="12" fillId="8" borderId="17" xfId="0" applyNumberFormat="1" applyFont="1" applyFill="1" applyBorder="1" applyAlignment="1">
      <alignment horizontal="center" vertical="center"/>
    </xf>
    <xf numFmtId="165" fontId="12" fillId="8" borderId="40" xfId="0" applyNumberFormat="1" applyFont="1" applyFill="1" applyBorder="1" applyAlignment="1">
      <alignment horizontal="center" vertical="center"/>
    </xf>
    <xf numFmtId="0" fontId="0" fillId="0" borderId="53" xfId="0" applyBorder="1" applyAlignment="1">
      <alignment horizontal="center" vertical="center"/>
    </xf>
    <xf numFmtId="0" fontId="0" fillId="0" borderId="65" xfId="0" applyBorder="1" applyAlignment="1">
      <alignment horizontal="center" vertical="center"/>
    </xf>
    <xf numFmtId="165" fontId="12" fillId="8" borderId="8" xfId="0" applyNumberFormat="1" applyFont="1" applyFill="1" applyBorder="1" applyAlignment="1">
      <alignment horizontal="center" vertical="center"/>
    </xf>
    <xf numFmtId="2" fontId="12" fillId="6" borderId="15" xfId="0" applyNumberFormat="1" applyFont="1" applyFill="1" applyBorder="1" applyAlignment="1">
      <alignment horizontal="center" vertical="center"/>
    </xf>
    <xf numFmtId="0" fontId="0" fillId="0" borderId="28" xfId="0" applyBorder="1" applyAlignment="1">
      <alignment horizontal="center" vertical="center"/>
    </xf>
    <xf numFmtId="0" fontId="12" fillId="8" borderId="14" xfId="0" applyFont="1" applyFill="1" applyBorder="1" applyAlignment="1">
      <alignment horizontal="center" vertical="center"/>
    </xf>
    <xf numFmtId="0" fontId="12" fillId="8" borderId="59" xfId="0" applyFont="1" applyFill="1" applyBorder="1" applyAlignment="1">
      <alignment horizontal="center" vertical="center" wrapText="1"/>
    </xf>
    <xf numFmtId="0" fontId="12" fillId="8" borderId="42" xfId="0" applyFont="1" applyFill="1" applyBorder="1" applyAlignment="1">
      <alignment horizontal="center" vertical="center" wrapText="1"/>
    </xf>
    <xf numFmtId="0" fontId="0" fillId="0" borderId="60" xfId="0" applyBorder="1" applyAlignment="1">
      <alignment horizontal="center" vertical="center" wrapText="1"/>
    </xf>
    <xf numFmtId="0" fontId="0" fillId="0" borderId="42" xfId="0" applyBorder="1" applyAlignment="1">
      <alignment horizontal="center" vertical="center" wrapText="1"/>
    </xf>
    <xf numFmtId="0" fontId="12" fillId="8" borderId="60" xfId="0" applyFont="1" applyFill="1" applyBorder="1" applyAlignment="1">
      <alignment horizontal="center" vertical="center" wrapText="1"/>
    </xf>
    <xf numFmtId="0" fontId="13" fillId="5" borderId="31"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33" xfId="0" applyFont="1" applyFill="1" applyBorder="1" applyAlignment="1">
      <alignment horizontal="center" vertical="center"/>
    </xf>
    <xf numFmtId="0" fontId="12" fillId="5" borderId="46" xfId="0" applyFont="1" applyFill="1" applyBorder="1" applyAlignment="1">
      <alignment horizontal="center" vertical="center"/>
    </xf>
    <xf numFmtId="0" fontId="12" fillId="5" borderId="35" xfId="0" applyFont="1" applyFill="1" applyBorder="1" applyAlignment="1">
      <alignment horizontal="center" vertical="center"/>
    </xf>
    <xf numFmtId="0" fontId="12" fillId="5" borderId="68" xfId="0" applyFont="1" applyFill="1" applyBorder="1" applyAlignment="1">
      <alignment horizontal="center" vertical="center"/>
    </xf>
    <xf numFmtId="0" fontId="12" fillId="5" borderId="13" xfId="0" applyFont="1" applyFill="1" applyBorder="1" applyAlignment="1">
      <alignment horizontal="left" vertical="center"/>
    </xf>
    <xf numFmtId="0" fontId="12" fillId="5" borderId="2" xfId="0" applyFont="1" applyFill="1" applyBorder="1" applyAlignment="1">
      <alignment horizontal="left" vertical="center"/>
    </xf>
    <xf numFmtId="0" fontId="12" fillId="5" borderId="6" xfId="0" applyFont="1" applyFill="1" applyBorder="1" applyAlignment="1">
      <alignment horizontal="left" vertical="center"/>
    </xf>
    <xf numFmtId="0" fontId="12" fillId="0" borderId="9" xfId="0" applyFont="1" applyBorder="1" applyAlignment="1">
      <alignment horizontal="left" vertical="center" wrapText="1"/>
    </xf>
    <xf numFmtId="0" fontId="12" fillId="0" borderId="1" xfId="0" applyFont="1" applyBorder="1" applyAlignment="1">
      <alignment horizontal="left" vertical="center"/>
    </xf>
    <xf numFmtId="0" fontId="12" fillId="0" borderId="70" xfId="0" applyFont="1" applyBorder="1" applyAlignment="1">
      <alignment horizontal="left" vertical="center"/>
    </xf>
    <xf numFmtId="0" fontId="12" fillId="0" borderId="28" xfId="0" applyFont="1" applyBorder="1" applyAlignment="1">
      <alignment horizontal="left" vertical="center"/>
    </xf>
    <xf numFmtId="0" fontId="12" fillId="0" borderId="3" xfId="0" applyFont="1" applyBorder="1" applyAlignment="1">
      <alignment horizontal="left" vertical="center"/>
    </xf>
    <xf numFmtId="0" fontId="12" fillId="0" borderId="69" xfId="0" applyFont="1" applyBorder="1" applyAlignment="1">
      <alignment horizontal="left" vertical="center"/>
    </xf>
    <xf numFmtId="0" fontId="13" fillId="0" borderId="46"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2" fillId="9" borderId="25" xfId="0" applyFont="1" applyFill="1" applyBorder="1" applyAlignment="1">
      <alignment horizontal="center" vertical="center"/>
    </xf>
    <xf numFmtId="2" fontId="12" fillId="8" borderId="12" xfId="0" applyNumberFormat="1" applyFont="1" applyFill="1" applyBorder="1" applyAlignment="1">
      <alignment horizontal="center" vertical="center"/>
    </xf>
    <xf numFmtId="1" fontId="12" fillId="8" borderId="12" xfId="0" applyNumberFormat="1" applyFont="1" applyFill="1" applyBorder="1" applyAlignment="1">
      <alignment horizontal="center" vertical="center"/>
    </xf>
    <xf numFmtId="0" fontId="12" fillId="0" borderId="9" xfId="0" applyFont="1" applyBorder="1" applyAlignment="1">
      <alignment horizontal="left" vertical="center"/>
    </xf>
    <xf numFmtId="0" fontId="12" fillId="5" borderId="9"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0" xfId="0" applyFont="1" applyFill="1" applyBorder="1" applyAlignment="1">
      <alignment horizontal="left" vertical="center"/>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12" fillId="5" borderId="44" xfId="0" applyFont="1" applyFill="1" applyBorder="1" applyAlignment="1">
      <alignment horizontal="left" vertical="center"/>
    </xf>
    <xf numFmtId="0" fontId="12" fillId="5" borderId="45" xfId="0" applyFont="1" applyFill="1" applyBorder="1" applyAlignment="1">
      <alignment horizontal="left" vertical="center"/>
    </xf>
    <xf numFmtId="0" fontId="12" fillId="8" borderId="15" xfId="0" applyFont="1" applyFill="1" applyBorder="1" applyAlignment="1">
      <alignment horizontal="center" vertical="center" wrapText="1"/>
    </xf>
    <xf numFmtId="0" fontId="12" fillId="8" borderId="24" xfId="0" applyFont="1" applyFill="1" applyBorder="1" applyAlignment="1">
      <alignment horizontal="center" vertical="center" wrapText="1"/>
    </xf>
    <xf numFmtId="0" fontId="0" fillId="0" borderId="21" xfId="0"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5" borderId="31" xfId="0" applyFont="1" applyFill="1" applyBorder="1" applyAlignment="1">
      <alignment horizontal="center" vertical="center" wrapText="1"/>
    </xf>
    <xf numFmtId="0" fontId="0" fillId="0" borderId="24" xfId="0" applyBorder="1" applyAlignment="1">
      <alignment horizontal="center" vertical="center" wrapText="1"/>
    </xf>
    <xf numFmtId="0" fontId="12" fillId="8" borderId="18" xfId="0" applyFont="1" applyFill="1" applyBorder="1" applyAlignment="1">
      <alignment horizontal="center" vertical="center"/>
    </xf>
    <xf numFmtId="0" fontId="12" fillId="8" borderId="13" xfId="0" applyFont="1" applyFill="1" applyBorder="1" applyAlignment="1">
      <alignment horizontal="center" vertical="center"/>
    </xf>
    <xf numFmtId="0" fontId="12" fillId="9" borderId="17" xfId="0" applyFont="1" applyFill="1" applyBorder="1" applyAlignment="1">
      <alignment horizontal="center" vertical="center" wrapText="1"/>
    </xf>
    <xf numFmtId="0" fontId="12" fillId="8" borderId="21" xfId="0" applyFont="1" applyFill="1" applyBorder="1" applyAlignment="1">
      <alignment horizontal="center" vertical="center" wrapText="1"/>
    </xf>
    <xf numFmtId="0" fontId="24" fillId="0" borderId="31"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33" xfId="0" applyFont="1" applyBorder="1" applyAlignment="1">
      <alignment horizontal="center" vertical="center" wrapText="1"/>
    </xf>
    <xf numFmtId="0" fontId="23" fillId="0" borderId="0" xfId="0" applyFont="1" applyBorder="1" applyAlignment="1">
      <alignment horizontal="center" vertical="center" wrapText="1"/>
    </xf>
    <xf numFmtId="0" fontId="18" fillId="0" borderId="0" xfId="0" applyFont="1" applyBorder="1" applyAlignment="1">
      <alignment horizontal="center" vertical="center" wrapText="1"/>
    </xf>
    <xf numFmtId="3" fontId="10" fillId="0" borderId="59" xfId="1" applyNumberFormat="1" applyFont="1" applyBorder="1" applyAlignment="1">
      <alignment horizontal="center" vertical="center" wrapText="1" readingOrder="2"/>
    </xf>
    <xf numFmtId="0" fontId="0" fillId="0" borderId="42" xfId="0" applyBorder="1" applyAlignment="1">
      <alignment horizontal="center" vertical="center" wrapText="1" readingOrder="2"/>
    </xf>
    <xf numFmtId="9" fontId="9" fillId="10" borderId="59" xfId="2" applyFont="1" applyFill="1" applyBorder="1" applyAlignment="1">
      <alignment horizontal="center" vertical="center" wrapText="1" readingOrder="2"/>
    </xf>
    <xf numFmtId="0" fontId="0" fillId="10" borderId="42" xfId="0" applyFill="1" applyBorder="1" applyAlignment="1">
      <alignment horizontal="center" vertical="center" wrapText="1" readingOrder="2"/>
    </xf>
    <xf numFmtId="0" fontId="0" fillId="0" borderId="27" xfId="0" applyBorder="1" applyAlignment="1"/>
    <xf numFmtId="0" fontId="22" fillId="5" borderId="31" xfId="0" applyFont="1" applyFill="1" applyBorder="1" applyAlignment="1">
      <alignment horizontal="center" vertical="center" wrapText="1"/>
    </xf>
    <xf numFmtId="0" fontId="22" fillId="5" borderId="32"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3" fillId="2" borderId="31" xfId="0" applyFont="1" applyFill="1" applyBorder="1" applyAlignment="1">
      <alignment horizontal="center" vertical="center"/>
    </xf>
    <xf numFmtId="0" fontId="3" fillId="2" borderId="33" xfId="0" applyFont="1" applyFill="1" applyBorder="1" applyAlignment="1">
      <alignment horizontal="center" vertical="center"/>
    </xf>
    <xf numFmtId="3" fontId="9" fillId="0" borderId="31" xfId="1" applyNumberFormat="1" applyFont="1" applyFill="1" applyBorder="1" applyAlignment="1">
      <alignment horizontal="center" vertical="center" wrapText="1" readingOrder="2"/>
    </xf>
    <xf numFmtId="3" fontId="9" fillId="0" borderId="33" xfId="1" applyNumberFormat="1" applyFont="1" applyFill="1" applyBorder="1" applyAlignment="1">
      <alignment horizontal="center" vertical="center" wrapText="1" readingOrder="2"/>
    </xf>
    <xf numFmtId="3" fontId="2" fillId="6" borderId="31" xfId="1" applyNumberFormat="1" applyFont="1" applyFill="1" applyBorder="1" applyAlignment="1">
      <alignment horizontal="center" vertical="center" wrapText="1" readingOrder="2"/>
    </xf>
    <xf numFmtId="3" fontId="2" fillId="6" borderId="33" xfId="1" applyNumberFormat="1" applyFont="1" applyFill="1" applyBorder="1" applyAlignment="1">
      <alignment horizontal="center" vertical="center" wrapText="1" readingOrder="2"/>
    </xf>
  </cellXfs>
  <cellStyles count="3">
    <cellStyle name="Comma" xfId="1" builtinId="3"/>
    <cellStyle name="Normal" xfId="0" builtinId="0"/>
    <cellStyle name="Percent" xfId="2" builtinId="5"/>
  </cellStyles>
  <dxfs count="36">
    <dxf>
      <font>
        <b/>
        <i val="0"/>
        <color rgb="FF0070C0"/>
      </font>
    </dxf>
    <dxf>
      <font>
        <b/>
        <i val="0"/>
        <color rgb="FF0070C0"/>
      </font>
    </dxf>
    <dxf>
      <font>
        <b/>
        <i val="0"/>
        <color theme="8" tint="-0.24994659260841701"/>
      </font>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6"/>
  <sheetViews>
    <sheetView tabSelected="1" topLeftCell="A2" zoomScale="83" zoomScaleNormal="83" workbookViewId="0">
      <selection activeCell="B2" sqref="B2:U2"/>
    </sheetView>
  </sheetViews>
  <sheetFormatPr defaultColWidth="9.140625" defaultRowHeight="15" x14ac:dyDescent="0.25"/>
  <cols>
    <col min="1" max="1" width="9.140625" style="22"/>
    <col min="2" max="2" width="23.42578125" style="22" customWidth="1"/>
    <col min="3" max="3" width="29.42578125" style="22" customWidth="1"/>
    <col min="4" max="4" width="10.42578125" style="22" customWidth="1"/>
    <col min="5" max="6" width="11.42578125" style="22" customWidth="1"/>
    <col min="7" max="7" width="16.42578125" style="22" customWidth="1"/>
    <col min="8" max="8" width="14.42578125" style="23" customWidth="1"/>
    <col min="9" max="9" width="21.42578125" style="23" customWidth="1"/>
    <col min="10" max="10" width="18.42578125" style="23" customWidth="1"/>
    <col min="11" max="11" width="19.42578125" style="23" customWidth="1"/>
    <col min="12" max="12" width="20.140625" style="23" customWidth="1"/>
    <col min="13" max="13" width="20.42578125" style="23" customWidth="1"/>
    <col min="14" max="14" width="38.42578125" style="23" customWidth="1"/>
    <col min="15" max="20" width="13.85546875" style="23" customWidth="1"/>
    <col min="21" max="21" width="11.7109375" style="22" customWidth="1"/>
    <col min="22" max="16384" width="9.140625" style="22"/>
  </cols>
  <sheetData>
    <row r="1" spans="2:21" ht="15.75" thickBot="1" x14ac:dyDescent="0.3"/>
    <row r="2" spans="2:21" ht="45" customHeight="1" thickBot="1" x14ac:dyDescent="0.3">
      <c r="B2" s="199" t="s">
        <v>118</v>
      </c>
      <c r="C2" s="200"/>
      <c r="D2" s="200"/>
      <c r="E2" s="200"/>
      <c r="F2" s="200"/>
      <c r="G2" s="200"/>
      <c r="H2" s="200"/>
      <c r="I2" s="200"/>
      <c r="J2" s="200"/>
      <c r="K2" s="200"/>
      <c r="L2" s="200"/>
      <c r="M2" s="200"/>
      <c r="N2" s="200"/>
      <c r="O2" s="200"/>
      <c r="P2" s="200"/>
      <c r="Q2" s="200"/>
      <c r="R2" s="200"/>
      <c r="S2" s="200"/>
      <c r="T2" s="200"/>
      <c r="U2" s="201"/>
    </row>
    <row r="3" spans="2:21" ht="33.75" customHeight="1" x14ac:dyDescent="0.25">
      <c r="B3" s="219" t="s">
        <v>90</v>
      </c>
      <c r="C3" s="210" t="s">
        <v>9</v>
      </c>
      <c r="D3" s="210"/>
      <c r="E3" s="210"/>
      <c r="F3" s="210"/>
      <c r="G3" s="210"/>
      <c r="H3" s="211" t="s">
        <v>10</v>
      </c>
      <c r="I3" s="212"/>
      <c r="J3" s="213"/>
      <c r="K3" s="211" t="s">
        <v>11</v>
      </c>
      <c r="L3" s="212"/>
      <c r="M3" s="213"/>
      <c r="N3" s="202" t="s">
        <v>12</v>
      </c>
      <c r="O3" s="262"/>
      <c r="P3" s="262"/>
      <c r="Q3" s="262"/>
      <c r="R3" s="262"/>
      <c r="S3" s="262"/>
      <c r="T3" s="202" t="s">
        <v>13</v>
      </c>
      <c r="U3" s="203"/>
    </row>
    <row r="4" spans="2:21" ht="99.75" customHeight="1" thickBot="1" x14ac:dyDescent="0.3">
      <c r="B4" s="220"/>
      <c r="C4" s="87" t="s">
        <v>14</v>
      </c>
      <c r="D4" s="24" t="s">
        <v>15</v>
      </c>
      <c r="E4" s="24" t="s">
        <v>16</v>
      </c>
      <c r="F4" s="24" t="s">
        <v>18</v>
      </c>
      <c r="G4" s="64" t="s">
        <v>17</v>
      </c>
      <c r="H4" s="25" t="s">
        <v>69</v>
      </c>
      <c r="I4" s="26" t="s">
        <v>21</v>
      </c>
      <c r="J4" s="65" t="s">
        <v>70</v>
      </c>
      <c r="K4" s="25" t="s">
        <v>19</v>
      </c>
      <c r="L4" s="26" t="s">
        <v>20</v>
      </c>
      <c r="M4" s="65" t="s">
        <v>22</v>
      </c>
      <c r="N4" s="92" t="s">
        <v>23</v>
      </c>
      <c r="O4" s="97" t="s">
        <v>24</v>
      </c>
      <c r="P4" s="89" t="s">
        <v>25</v>
      </c>
      <c r="Q4" s="26" t="s">
        <v>26</v>
      </c>
      <c r="R4" s="27" t="s">
        <v>27</v>
      </c>
      <c r="S4" s="66" t="s">
        <v>28</v>
      </c>
      <c r="T4" s="67" t="s">
        <v>101</v>
      </c>
      <c r="U4" s="28" t="s">
        <v>99</v>
      </c>
    </row>
    <row r="5" spans="2:21" ht="48" customHeight="1" x14ac:dyDescent="0.25">
      <c r="B5" s="239" t="s">
        <v>92</v>
      </c>
      <c r="C5" s="88" t="s">
        <v>57</v>
      </c>
      <c r="D5" s="29">
        <v>20000</v>
      </c>
      <c r="E5" s="29">
        <v>50</v>
      </c>
      <c r="F5" s="29">
        <f t="shared" ref="F5:F10" si="0">D5*E5/100</f>
        <v>10000</v>
      </c>
      <c r="G5" s="221">
        <f>(SUM(F5:F6)/D5)*100</f>
        <v>75</v>
      </c>
      <c r="H5" s="30">
        <v>300</v>
      </c>
      <c r="I5" s="31">
        <f>F5*H5/1000</f>
        <v>3000</v>
      </c>
      <c r="J5" s="187">
        <f>SUMPRODUCT(F5:F6,H5:H6)/SUM(F5:F6)</f>
        <v>333.33333333333331</v>
      </c>
      <c r="K5" s="30">
        <v>6</v>
      </c>
      <c r="L5" s="32">
        <f t="shared" ref="L5:L10" si="1">F5*(K5/100)</f>
        <v>600</v>
      </c>
      <c r="M5" s="190">
        <f>SUMPRODUCT(F5:F6,K5:K6)/SUM(F5:F6)</f>
        <v>8</v>
      </c>
      <c r="N5" s="82">
        <v>0.8</v>
      </c>
      <c r="O5" s="98">
        <f t="shared" ref="O5:O10" si="2">F5*N5</f>
        <v>8000</v>
      </c>
      <c r="P5" s="191">
        <f>SUM(O5:O6)</f>
        <v>20500</v>
      </c>
      <c r="Q5" s="194">
        <v>0.3</v>
      </c>
      <c r="R5" s="197">
        <f>(P5*Q5)/100</f>
        <v>61.5</v>
      </c>
      <c r="S5" s="231">
        <f>(P5/SUM(F5:F6))*Q5</f>
        <v>0.41</v>
      </c>
      <c r="T5" s="225">
        <f>Result!E4</f>
        <v>0.35</v>
      </c>
      <c r="U5" s="183">
        <f>(F5+F6)*T5</f>
        <v>5250</v>
      </c>
    </row>
    <row r="6" spans="2:21" ht="48" customHeight="1" thickBot="1" x14ac:dyDescent="0.3">
      <c r="B6" s="240"/>
      <c r="C6" s="89" t="s">
        <v>0</v>
      </c>
      <c r="D6" s="34">
        <v>10000</v>
      </c>
      <c r="E6" s="34">
        <v>50</v>
      </c>
      <c r="F6" s="34">
        <f t="shared" si="0"/>
        <v>5000</v>
      </c>
      <c r="G6" s="222"/>
      <c r="H6" s="35">
        <v>400</v>
      </c>
      <c r="I6" s="36">
        <f t="shared" ref="I6:I8" si="3">F6*H6/1000</f>
        <v>2000</v>
      </c>
      <c r="J6" s="264"/>
      <c r="K6" s="35">
        <v>12</v>
      </c>
      <c r="L6" s="37">
        <f t="shared" si="1"/>
        <v>600</v>
      </c>
      <c r="M6" s="263"/>
      <c r="N6" s="93">
        <v>2.5</v>
      </c>
      <c r="O6" s="99">
        <f t="shared" si="2"/>
        <v>12500</v>
      </c>
      <c r="P6" s="230"/>
      <c r="Q6" s="214"/>
      <c r="R6" s="224"/>
      <c r="S6" s="232"/>
      <c r="T6" s="226"/>
      <c r="U6" s="223"/>
    </row>
    <row r="7" spans="2:21" ht="48" customHeight="1" x14ac:dyDescent="0.25">
      <c r="B7" s="239" t="s">
        <v>93</v>
      </c>
      <c r="C7" s="88" t="s">
        <v>57</v>
      </c>
      <c r="D7" s="29">
        <v>20000</v>
      </c>
      <c r="E7" s="29">
        <v>50</v>
      </c>
      <c r="F7" s="29">
        <f t="shared" si="0"/>
        <v>10000</v>
      </c>
      <c r="G7" s="221">
        <f>(SUM(F7+F10)/D7)*100</f>
        <v>82.242000000000004</v>
      </c>
      <c r="H7" s="38">
        <v>300</v>
      </c>
      <c r="I7" s="33">
        <f t="shared" si="3"/>
        <v>3000</v>
      </c>
      <c r="J7" s="186">
        <f>SUMPRODUCT(F7:F10,H7:H10)/SUM(F7:F10)</f>
        <v>245.17478652243065</v>
      </c>
      <c r="K7" s="38">
        <v>6</v>
      </c>
      <c r="L7" s="39">
        <f t="shared" si="1"/>
        <v>600</v>
      </c>
      <c r="M7" s="189">
        <f>SUMPRODUCT(F7:F10,K7:K10)/SUM(F7:F10)</f>
        <v>4.6513406504156745</v>
      </c>
      <c r="N7" s="82">
        <v>0.8</v>
      </c>
      <c r="O7" s="98">
        <f t="shared" si="2"/>
        <v>8000</v>
      </c>
      <c r="P7" s="191">
        <f>SUM(O7:O10)</f>
        <v>17480.52</v>
      </c>
      <c r="Q7" s="194">
        <v>0.3</v>
      </c>
      <c r="R7" s="197">
        <f>(P7*Q7)/100</f>
        <v>52.441560000000003</v>
      </c>
      <c r="S7" s="235">
        <f>(P7/SUM(F7:F10))*Q7</f>
        <v>0.14788767188187385</v>
      </c>
      <c r="T7" s="236">
        <f>Result!E7</f>
        <v>0.35</v>
      </c>
      <c r="U7" s="183">
        <f>(F7+F10)*T7</f>
        <v>5756.9400000000005</v>
      </c>
    </row>
    <row r="8" spans="2:21" ht="48" customHeight="1" x14ac:dyDescent="0.25">
      <c r="B8" s="243"/>
      <c r="C8" s="90" t="s">
        <v>77</v>
      </c>
      <c r="D8" s="41">
        <v>10000</v>
      </c>
      <c r="E8" s="41">
        <v>98</v>
      </c>
      <c r="F8" s="41">
        <f t="shared" si="0"/>
        <v>9800</v>
      </c>
      <c r="G8" s="238"/>
      <c r="H8" s="42">
        <v>33</v>
      </c>
      <c r="I8" s="43">
        <f t="shared" si="3"/>
        <v>323.39999999999998</v>
      </c>
      <c r="J8" s="187"/>
      <c r="K8" s="42">
        <v>3</v>
      </c>
      <c r="L8" s="44">
        <f t="shared" si="1"/>
        <v>294</v>
      </c>
      <c r="M8" s="190"/>
      <c r="N8" s="94">
        <v>0.3</v>
      </c>
      <c r="O8" s="100">
        <f t="shared" si="2"/>
        <v>2940</v>
      </c>
      <c r="P8" s="192"/>
      <c r="Q8" s="195"/>
      <c r="R8" s="198"/>
      <c r="S8" s="217"/>
      <c r="T8" s="227"/>
      <c r="U8" s="184"/>
    </row>
    <row r="9" spans="2:21" ht="45" customHeight="1" x14ac:dyDescent="0.25">
      <c r="B9" s="243"/>
      <c r="C9" s="87" t="s">
        <v>81</v>
      </c>
      <c r="D9" s="77">
        <v>9800</v>
      </c>
      <c r="E9" s="77">
        <v>94</v>
      </c>
      <c r="F9" s="77">
        <f t="shared" si="0"/>
        <v>9212</v>
      </c>
      <c r="G9" s="238"/>
      <c r="H9" s="78">
        <v>373</v>
      </c>
      <c r="I9" s="79">
        <f>F9*H9/1000</f>
        <v>3436.076</v>
      </c>
      <c r="J9" s="187"/>
      <c r="K9" s="78">
        <v>4</v>
      </c>
      <c r="L9" s="80">
        <f t="shared" si="1"/>
        <v>368.48</v>
      </c>
      <c r="M9" s="190"/>
      <c r="N9" s="95">
        <v>0.15</v>
      </c>
      <c r="O9" s="101">
        <f t="shared" si="2"/>
        <v>1381.8</v>
      </c>
      <c r="P9" s="192"/>
      <c r="Q9" s="195"/>
      <c r="R9" s="198"/>
      <c r="S9" s="217"/>
      <c r="T9" s="227"/>
      <c r="U9" s="184"/>
    </row>
    <row r="10" spans="2:21" ht="45" customHeight="1" thickBot="1" x14ac:dyDescent="0.3">
      <c r="B10" s="242"/>
      <c r="C10" s="89" t="s">
        <v>0</v>
      </c>
      <c r="D10" s="34">
        <v>9212</v>
      </c>
      <c r="E10" s="34">
        <v>70</v>
      </c>
      <c r="F10" s="34">
        <f t="shared" si="0"/>
        <v>6448.4</v>
      </c>
      <c r="G10" s="188"/>
      <c r="H10" s="35">
        <v>300</v>
      </c>
      <c r="I10" s="36">
        <f>F10*H10/1000</f>
        <v>1934.52</v>
      </c>
      <c r="J10" s="188"/>
      <c r="K10" s="35">
        <v>6</v>
      </c>
      <c r="L10" s="37">
        <f t="shared" si="1"/>
        <v>386.90399999999994</v>
      </c>
      <c r="M10" s="188"/>
      <c r="N10" s="93">
        <v>0.8</v>
      </c>
      <c r="O10" s="100">
        <f t="shared" si="2"/>
        <v>5158.72</v>
      </c>
      <c r="P10" s="193"/>
      <c r="Q10" s="196"/>
      <c r="R10" s="196"/>
      <c r="S10" s="185"/>
      <c r="T10" s="237"/>
      <c r="U10" s="185"/>
    </row>
    <row r="11" spans="2:21" ht="45" customHeight="1" x14ac:dyDescent="0.25">
      <c r="B11" s="239" t="s">
        <v>94</v>
      </c>
      <c r="C11" s="91" t="s">
        <v>1</v>
      </c>
      <c r="D11" s="69">
        <v>10000</v>
      </c>
      <c r="E11" s="69">
        <v>50</v>
      </c>
      <c r="F11" s="69">
        <f>D11*E11/100</f>
        <v>5000</v>
      </c>
      <c r="G11" s="238">
        <f>(SUM(F11+F13)/D11)*100</f>
        <v>97.5</v>
      </c>
      <c r="H11" s="30">
        <v>300</v>
      </c>
      <c r="I11" s="70">
        <f>F11*H11/1000</f>
        <v>1500</v>
      </c>
      <c r="J11" s="187">
        <f>SUMPRODUCT(F11:F13,H11:H13)/SUM(F11:F13)</f>
        <v>95.441558441558442</v>
      </c>
      <c r="K11" s="30">
        <v>6</v>
      </c>
      <c r="L11" s="32">
        <f>F11*(K11/100)</f>
        <v>300</v>
      </c>
      <c r="M11" s="190">
        <f>SUMPRODUCT(F11:F13,K11:K13)/SUM(F11:F13)</f>
        <v>3.2857142857142856</v>
      </c>
      <c r="N11" s="96">
        <v>0.8</v>
      </c>
      <c r="O11" s="102">
        <f>F11*N11</f>
        <v>4000</v>
      </c>
      <c r="P11" s="192">
        <f>SUM(O11:O13)</f>
        <v>7087.5</v>
      </c>
      <c r="Q11" s="195">
        <v>0.3</v>
      </c>
      <c r="R11" s="198">
        <f>(P11*Q11)/100</f>
        <v>21.262499999999999</v>
      </c>
      <c r="S11" s="217">
        <f>(P11/SUM(F11:F13))*Q11</f>
        <v>0.11045454545454544</v>
      </c>
      <c r="T11" s="227">
        <v>0.12</v>
      </c>
      <c r="U11" s="184">
        <f>(D12+F12+F13)*T11+(F11*T7)</f>
        <v>4660</v>
      </c>
    </row>
    <row r="12" spans="2:21" ht="45" customHeight="1" x14ac:dyDescent="0.25">
      <c r="B12" s="241"/>
      <c r="C12" s="91" t="s">
        <v>78</v>
      </c>
      <c r="D12" s="69">
        <v>10000</v>
      </c>
      <c r="E12" s="69">
        <v>95</v>
      </c>
      <c r="F12" s="69">
        <f>D12*E12/100</f>
        <v>9500</v>
      </c>
      <c r="G12" s="218"/>
      <c r="H12" s="30">
        <v>33</v>
      </c>
      <c r="I12" s="70">
        <f>F12*H12/100</f>
        <v>3135</v>
      </c>
      <c r="J12" s="218"/>
      <c r="K12" s="30">
        <v>3</v>
      </c>
      <c r="L12" s="32">
        <f>F12*(K12/100)</f>
        <v>285</v>
      </c>
      <c r="M12" s="218"/>
      <c r="N12" s="96">
        <v>0.3</v>
      </c>
      <c r="O12" s="102">
        <f>F12*N12</f>
        <v>2850</v>
      </c>
      <c r="P12" s="233"/>
      <c r="Q12" s="215"/>
      <c r="R12" s="215"/>
      <c r="S12" s="218"/>
      <c r="T12" s="228"/>
      <c r="U12" s="218"/>
    </row>
    <row r="13" spans="2:21" ht="45" customHeight="1" thickBot="1" x14ac:dyDescent="0.3">
      <c r="B13" s="242"/>
      <c r="C13" s="89" t="s">
        <v>72</v>
      </c>
      <c r="D13" s="34">
        <v>5000</v>
      </c>
      <c r="E13" s="34">
        <v>95</v>
      </c>
      <c r="F13" s="34">
        <f>D13*E13/100</f>
        <v>4750</v>
      </c>
      <c r="G13" s="188"/>
      <c r="H13" s="35">
        <v>5</v>
      </c>
      <c r="I13" s="36">
        <f>F13*H13/100</f>
        <v>237.5</v>
      </c>
      <c r="J13" s="188"/>
      <c r="K13" s="35">
        <v>1</v>
      </c>
      <c r="L13" s="37">
        <f>F13*(K13/100)</f>
        <v>47.5</v>
      </c>
      <c r="M13" s="188"/>
      <c r="N13" s="93">
        <v>0.05</v>
      </c>
      <c r="O13" s="99">
        <f>F13*N13</f>
        <v>237.5</v>
      </c>
      <c r="P13" s="234"/>
      <c r="Q13" s="216"/>
      <c r="R13" s="216"/>
      <c r="S13" s="188"/>
      <c r="T13" s="229"/>
      <c r="U13" s="188"/>
    </row>
    <row r="14" spans="2:21" ht="36" customHeight="1" thickBot="1" x14ac:dyDescent="0.3">
      <c r="H14" s="22"/>
      <c r="I14" s="22"/>
      <c r="J14" s="22"/>
      <c r="Q14" s="22"/>
      <c r="R14" s="22"/>
      <c r="S14" s="22"/>
      <c r="T14" s="22"/>
    </row>
    <row r="15" spans="2:21" ht="39" customHeight="1" thickBot="1" x14ac:dyDescent="0.3">
      <c r="B15" s="204" t="s">
        <v>30</v>
      </c>
      <c r="C15" s="205"/>
      <c r="D15" s="205"/>
      <c r="E15" s="205"/>
      <c r="F15" s="205"/>
      <c r="G15" s="86" t="s">
        <v>29</v>
      </c>
      <c r="H15" s="22"/>
      <c r="I15" s="244" t="s">
        <v>85</v>
      </c>
      <c r="J15" s="245"/>
      <c r="K15" s="245"/>
      <c r="L15" s="245"/>
      <c r="M15" s="245"/>
      <c r="N15" s="246"/>
      <c r="Q15" s="22"/>
      <c r="R15" s="22"/>
      <c r="S15" s="22"/>
      <c r="T15" s="22"/>
    </row>
    <row r="16" spans="2:21" ht="59.45" customHeight="1" thickBot="1" x14ac:dyDescent="0.3">
      <c r="B16" s="206" t="s">
        <v>31</v>
      </c>
      <c r="C16" s="207"/>
      <c r="D16" s="207"/>
      <c r="E16" s="207"/>
      <c r="F16" s="207"/>
      <c r="G16" s="83">
        <v>2</v>
      </c>
      <c r="I16" s="45" t="s">
        <v>5</v>
      </c>
      <c r="J16" s="6" t="s">
        <v>4</v>
      </c>
      <c r="K16" s="6" t="s">
        <v>84</v>
      </c>
      <c r="L16" s="6" t="s">
        <v>83</v>
      </c>
      <c r="M16" s="7" t="s">
        <v>3</v>
      </c>
      <c r="N16" s="76" t="s">
        <v>90</v>
      </c>
      <c r="Q16" s="22"/>
      <c r="R16" s="22"/>
      <c r="S16" s="22"/>
      <c r="T16" s="22"/>
    </row>
    <row r="17" spans="2:20" ht="49.15" customHeight="1" thickBot="1" x14ac:dyDescent="0.3">
      <c r="B17" s="208" t="s">
        <v>32</v>
      </c>
      <c r="C17" s="209"/>
      <c r="D17" s="209"/>
      <c r="E17" s="209"/>
      <c r="F17" s="209"/>
      <c r="G17" s="84">
        <v>16</v>
      </c>
      <c r="I17" s="46">
        <f>SUM(J17:M17)</f>
        <v>259200</v>
      </c>
      <c r="J17" s="47">
        <v>86400</v>
      </c>
      <c r="K17" s="47">
        <v>0</v>
      </c>
      <c r="L17" s="47">
        <v>0</v>
      </c>
      <c r="M17" s="47">
        <v>172800</v>
      </c>
      <c r="N17" s="5" t="s">
        <v>111</v>
      </c>
      <c r="Q17" s="22"/>
      <c r="R17" s="22"/>
      <c r="S17" s="22"/>
      <c r="T17" s="22"/>
    </row>
    <row r="18" spans="2:20" ht="55.9" customHeight="1" thickBot="1" x14ac:dyDescent="0.3">
      <c r="B18" s="208" t="s">
        <v>33</v>
      </c>
      <c r="C18" s="209"/>
      <c r="D18" s="209"/>
      <c r="E18" s="209"/>
      <c r="F18" s="209"/>
      <c r="G18" s="84">
        <f>G17</f>
        <v>16</v>
      </c>
      <c r="I18" s="46">
        <f>SUM(J18:M18)</f>
        <v>263674</v>
      </c>
      <c r="J18" s="47">
        <v>86400</v>
      </c>
      <c r="K18" s="47">
        <v>1350</v>
      </c>
      <c r="L18" s="47">
        <v>3124</v>
      </c>
      <c r="M18" s="47">
        <v>172800</v>
      </c>
      <c r="N18" s="5" t="s">
        <v>114</v>
      </c>
      <c r="Q18" s="22"/>
      <c r="R18" s="22"/>
      <c r="S18" s="22"/>
      <c r="T18" s="22"/>
    </row>
    <row r="19" spans="2:20" ht="51.6" customHeight="1" thickBot="1" x14ac:dyDescent="0.3">
      <c r="B19" s="208" t="s">
        <v>34</v>
      </c>
      <c r="C19" s="209"/>
      <c r="D19" s="209"/>
      <c r="E19" s="209"/>
      <c r="F19" s="209"/>
      <c r="G19" s="84">
        <v>5</v>
      </c>
      <c r="I19" s="46">
        <f>SUM(J19:M19)</f>
        <v>131382</v>
      </c>
      <c r="J19" s="47">
        <v>0</v>
      </c>
      <c r="K19" s="47">
        <v>220</v>
      </c>
      <c r="L19" s="47">
        <v>1562</v>
      </c>
      <c r="M19" s="47">
        <v>129600</v>
      </c>
      <c r="N19" s="5" t="s">
        <v>80</v>
      </c>
      <c r="Q19" s="22"/>
      <c r="R19" s="22"/>
      <c r="S19" s="22"/>
      <c r="T19" s="22"/>
    </row>
    <row r="20" spans="2:20" ht="48.6" customHeight="1" thickBot="1" x14ac:dyDescent="0.3">
      <c r="B20" s="269" t="s">
        <v>73</v>
      </c>
      <c r="C20" s="270"/>
      <c r="D20" s="270"/>
      <c r="E20" s="270"/>
      <c r="F20" s="270"/>
      <c r="G20" s="85">
        <v>1</v>
      </c>
      <c r="I20" s="22"/>
      <c r="J20" s="22"/>
      <c r="Q20" s="22"/>
      <c r="R20" s="22"/>
      <c r="S20" s="22"/>
      <c r="T20" s="22"/>
    </row>
    <row r="21" spans="2:20" ht="21" customHeight="1" thickBot="1" x14ac:dyDescent="0.3">
      <c r="I21" s="22"/>
      <c r="J21" s="22"/>
      <c r="Q21" s="22"/>
      <c r="R21" s="22"/>
      <c r="S21" s="22"/>
      <c r="T21" s="22"/>
    </row>
    <row r="22" spans="2:20" ht="36" customHeight="1" thickBot="1" x14ac:dyDescent="0.3">
      <c r="B22" s="247" t="s">
        <v>35</v>
      </c>
      <c r="C22" s="248"/>
      <c r="D22" s="248"/>
      <c r="E22" s="248"/>
      <c r="F22" s="249"/>
      <c r="G22" s="86" t="s">
        <v>36</v>
      </c>
      <c r="I22" s="22"/>
      <c r="J22" s="22"/>
      <c r="Q22" s="22"/>
      <c r="R22" s="22"/>
      <c r="S22" s="22"/>
      <c r="T22" s="22"/>
    </row>
    <row r="23" spans="2:20" ht="35.25" customHeight="1" x14ac:dyDescent="0.25">
      <c r="B23" s="256" t="s">
        <v>37</v>
      </c>
      <c r="C23" s="257"/>
      <c r="D23" s="257"/>
      <c r="E23" s="257"/>
      <c r="F23" s="258"/>
      <c r="G23" s="109">
        <f>(I5+I6)*1000</f>
        <v>5000000</v>
      </c>
      <c r="H23" s="22"/>
      <c r="I23" s="22"/>
      <c r="J23" s="22"/>
      <c r="Q23" s="22"/>
      <c r="R23" s="22"/>
      <c r="S23" s="22"/>
      <c r="T23" s="22"/>
    </row>
    <row r="24" spans="2:20" ht="38.25" customHeight="1" x14ac:dyDescent="0.25">
      <c r="B24" s="265" t="s">
        <v>38</v>
      </c>
      <c r="C24" s="254"/>
      <c r="D24" s="254"/>
      <c r="E24" s="254"/>
      <c r="F24" s="255"/>
      <c r="G24" s="110">
        <f>(L5+L6)*365</f>
        <v>438000</v>
      </c>
      <c r="H24" s="22"/>
      <c r="I24" s="48"/>
      <c r="J24" s="22"/>
      <c r="K24" s="22"/>
      <c r="L24" s="22"/>
      <c r="M24" s="22"/>
      <c r="N24" s="22"/>
      <c r="O24" s="22"/>
      <c r="P24" s="22"/>
      <c r="Q24" s="22"/>
      <c r="R24" s="22"/>
      <c r="S24" s="22"/>
      <c r="T24" s="22"/>
    </row>
    <row r="25" spans="2:20" ht="35.25" customHeight="1" x14ac:dyDescent="0.25">
      <c r="B25" s="265" t="s">
        <v>39</v>
      </c>
      <c r="C25" s="254"/>
      <c r="D25" s="254"/>
      <c r="E25" s="254"/>
      <c r="F25" s="255"/>
      <c r="G25" s="110">
        <f>(R5)*365</f>
        <v>22447.5</v>
      </c>
      <c r="H25" s="22"/>
      <c r="I25" s="48"/>
      <c r="J25" s="22"/>
      <c r="K25" s="22"/>
      <c r="L25" s="22"/>
      <c r="M25" s="22"/>
      <c r="N25" s="22"/>
      <c r="O25" s="22"/>
      <c r="P25" s="22"/>
      <c r="Q25" s="22"/>
      <c r="R25" s="22"/>
      <c r="S25" s="22"/>
      <c r="T25" s="22"/>
    </row>
    <row r="26" spans="2:20" ht="53.25" customHeight="1" x14ac:dyDescent="0.25">
      <c r="B26" s="253" t="s">
        <v>82</v>
      </c>
      <c r="C26" s="254"/>
      <c r="D26" s="254"/>
      <c r="E26" s="254"/>
      <c r="F26" s="255"/>
      <c r="G26" s="110" t="s">
        <v>7</v>
      </c>
      <c r="H26" s="22"/>
      <c r="I26" s="49"/>
      <c r="J26" s="22"/>
      <c r="K26" s="22"/>
      <c r="L26" s="22"/>
      <c r="M26" s="22"/>
      <c r="N26" s="22"/>
      <c r="O26" s="22"/>
      <c r="P26" s="22"/>
      <c r="Q26" s="22"/>
      <c r="R26" s="22"/>
      <c r="S26" s="22"/>
      <c r="T26" s="22"/>
    </row>
    <row r="27" spans="2:20" ht="45.75" customHeight="1" x14ac:dyDescent="0.25">
      <c r="B27" s="208" t="s">
        <v>40</v>
      </c>
      <c r="C27" s="209"/>
      <c r="D27" s="209"/>
      <c r="E27" s="209"/>
      <c r="F27" s="209"/>
      <c r="G27" s="110">
        <f>0.1*G23</f>
        <v>500000</v>
      </c>
      <c r="H27" s="22"/>
      <c r="I27" s="22"/>
      <c r="J27" s="22"/>
      <c r="K27" s="22"/>
      <c r="L27" s="22"/>
      <c r="M27" s="22"/>
      <c r="N27" s="22"/>
      <c r="O27" s="22"/>
      <c r="P27" s="22"/>
      <c r="Q27" s="22"/>
      <c r="R27" s="22"/>
      <c r="S27" s="22"/>
      <c r="T27" s="22"/>
    </row>
    <row r="28" spans="2:20" ht="33.75" customHeight="1" x14ac:dyDescent="0.25">
      <c r="B28" s="265" t="s">
        <v>41</v>
      </c>
      <c r="C28" s="254"/>
      <c r="D28" s="254"/>
      <c r="E28" s="254"/>
      <c r="F28" s="255"/>
      <c r="G28" s="110">
        <f>U5*365</f>
        <v>1916250</v>
      </c>
      <c r="H28" s="22"/>
      <c r="I28" s="22"/>
      <c r="J28" s="22"/>
      <c r="K28" s="22"/>
      <c r="L28" s="22"/>
      <c r="M28" s="22"/>
      <c r="N28" s="22"/>
      <c r="O28" s="22"/>
      <c r="P28" s="22"/>
      <c r="Q28" s="22"/>
      <c r="R28" s="22"/>
      <c r="S28" s="22"/>
      <c r="T28" s="22"/>
    </row>
    <row r="29" spans="2:20" ht="35.25" customHeight="1" x14ac:dyDescent="0.25">
      <c r="B29" s="208" t="s">
        <v>42</v>
      </c>
      <c r="C29" s="209"/>
      <c r="D29" s="209"/>
      <c r="E29" s="209"/>
      <c r="F29" s="209"/>
      <c r="G29" s="110">
        <f>0.1*G23</f>
        <v>500000</v>
      </c>
      <c r="H29" s="22"/>
      <c r="I29" s="22"/>
      <c r="J29" s="22"/>
      <c r="K29" s="22"/>
      <c r="L29" s="22"/>
      <c r="M29" s="22"/>
      <c r="N29" s="22"/>
      <c r="O29" s="22"/>
      <c r="P29" s="22"/>
      <c r="Q29" s="22"/>
      <c r="R29" s="22"/>
      <c r="S29" s="22"/>
      <c r="T29" s="22"/>
    </row>
    <row r="30" spans="2:20" ht="35.25" customHeight="1" x14ac:dyDescent="0.25">
      <c r="B30" s="266" t="s">
        <v>43</v>
      </c>
      <c r="C30" s="267"/>
      <c r="D30" s="267"/>
      <c r="E30" s="267"/>
      <c r="F30" s="268"/>
      <c r="G30" s="111">
        <f>Result!C4</f>
        <v>0.15</v>
      </c>
      <c r="H30" s="22"/>
      <c r="I30" s="22"/>
      <c r="J30" s="22"/>
      <c r="K30" s="22"/>
      <c r="L30" s="22"/>
      <c r="M30" s="22"/>
      <c r="N30" s="22"/>
      <c r="O30" s="22"/>
      <c r="P30" s="22"/>
      <c r="Q30" s="22"/>
      <c r="R30" s="22"/>
      <c r="S30" s="22"/>
      <c r="T30" s="22"/>
    </row>
    <row r="31" spans="2:20" ht="36.75" customHeight="1" x14ac:dyDescent="0.25">
      <c r="B31" s="266" t="s">
        <v>44</v>
      </c>
      <c r="C31" s="267"/>
      <c r="D31" s="267"/>
      <c r="E31" s="267"/>
      <c r="F31" s="268"/>
      <c r="G31" s="112">
        <v>0.25</v>
      </c>
      <c r="H31" s="22"/>
      <c r="I31" s="22"/>
      <c r="J31" s="22"/>
      <c r="K31" s="22"/>
      <c r="L31" s="22"/>
      <c r="M31" s="22"/>
      <c r="N31" s="22"/>
      <c r="O31" s="22"/>
      <c r="P31" s="22"/>
      <c r="Q31" s="22"/>
      <c r="R31" s="22"/>
      <c r="S31" s="22"/>
      <c r="T31" s="22"/>
    </row>
    <row r="32" spans="2:20" ht="32.25" customHeight="1" x14ac:dyDescent="0.25">
      <c r="B32" s="250" t="s">
        <v>45</v>
      </c>
      <c r="C32" s="251"/>
      <c r="D32" s="251"/>
      <c r="E32" s="251"/>
      <c r="F32" s="252"/>
      <c r="G32" s="112">
        <f>Result!D4</f>
        <v>0.18</v>
      </c>
      <c r="H32" s="22"/>
      <c r="I32" s="22"/>
      <c r="J32" s="22"/>
      <c r="K32" s="22"/>
      <c r="L32" s="22"/>
      <c r="M32" s="22"/>
      <c r="N32" s="22"/>
      <c r="O32" s="22"/>
      <c r="P32" s="22"/>
      <c r="Q32" s="22"/>
      <c r="R32" s="22"/>
      <c r="S32" s="22"/>
      <c r="T32" s="22"/>
    </row>
    <row r="33" spans="2:20" ht="39" customHeight="1" thickBot="1" x14ac:dyDescent="0.3">
      <c r="B33" s="271" t="s">
        <v>103</v>
      </c>
      <c r="C33" s="272"/>
      <c r="D33" s="272"/>
      <c r="E33" s="272"/>
      <c r="F33" s="272"/>
      <c r="G33" s="113">
        <f>Result!F4</f>
        <v>0.18</v>
      </c>
      <c r="H33" s="22"/>
      <c r="I33" s="22"/>
      <c r="J33" s="22"/>
      <c r="K33" s="22"/>
      <c r="L33" s="22"/>
      <c r="M33" s="22"/>
      <c r="N33" s="22"/>
      <c r="O33" s="22"/>
      <c r="P33" s="22"/>
      <c r="Q33" s="22"/>
      <c r="R33" s="22"/>
      <c r="S33" s="22"/>
      <c r="T33" s="22"/>
    </row>
    <row r="34" spans="2:20" ht="21" customHeight="1" thickBot="1" x14ac:dyDescent="0.3">
      <c r="H34" s="22"/>
      <c r="I34" s="22"/>
      <c r="J34" s="22"/>
      <c r="K34" s="22"/>
      <c r="L34" s="22"/>
      <c r="M34" s="22"/>
      <c r="N34" s="22"/>
      <c r="O34" s="22"/>
      <c r="P34" s="22"/>
      <c r="Q34" s="22"/>
      <c r="R34" s="22"/>
      <c r="S34" s="22"/>
      <c r="T34" s="22"/>
    </row>
    <row r="35" spans="2:20" s="54" customFormat="1" ht="171.75" customHeight="1" thickBot="1" x14ac:dyDescent="0.3">
      <c r="B35" s="114" t="s">
        <v>91</v>
      </c>
      <c r="C35" s="114" t="s">
        <v>46</v>
      </c>
      <c r="D35" s="114" t="s">
        <v>47</v>
      </c>
      <c r="E35" s="114" t="s">
        <v>48</v>
      </c>
      <c r="F35" s="115" t="s">
        <v>49</v>
      </c>
      <c r="G35" s="114" t="s">
        <v>50</v>
      </c>
      <c r="H35" s="114" t="s">
        <v>51</v>
      </c>
      <c r="I35" s="114" t="s">
        <v>104</v>
      </c>
      <c r="J35" s="114" t="s">
        <v>52</v>
      </c>
      <c r="K35" s="114" t="s">
        <v>53</v>
      </c>
      <c r="L35" s="116" t="s">
        <v>54</v>
      </c>
      <c r="M35" s="116" t="s">
        <v>55</v>
      </c>
      <c r="N35" s="116" t="s">
        <v>61</v>
      </c>
    </row>
    <row r="36" spans="2:20" ht="15" customHeight="1" thickTop="1" x14ac:dyDescent="0.25">
      <c r="B36" s="117">
        <v>0</v>
      </c>
      <c r="C36" s="118">
        <f>G23</f>
        <v>5000000</v>
      </c>
      <c r="D36" s="119"/>
      <c r="E36" s="119"/>
      <c r="F36" s="119"/>
      <c r="G36" s="120"/>
      <c r="H36" s="119"/>
      <c r="I36" s="119"/>
      <c r="J36" s="119"/>
      <c r="K36" s="119"/>
      <c r="L36" s="121">
        <f t="shared" ref="L36:L52" si="4">I36-SUM(C36:H36,K36)</f>
        <v>-5000000</v>
      </c>
      <c r="M36" s="122">
        <f>SUM($L$36:L36)</f>
        <v>-5000000</v>
      </c>
      <c r="N36" s="123">
        <f>PV(G30,B36,0,M36)</f>
        <v>5000000</v>
      </c>
      <c r="O36" s="22"/>
      <c r="P36" s="22"/>
      <c r="Q36" s="22"/>
      <c r="R36" s="22"/>
      <c r="S36" s="22"/>
      <c r="T36" s="22"/>
    </row>
    <row r="37" spans="2:20" ht="15" customHeight="1" x14ac:dyDescent="0.25">
      <c r="B37" s="124">
        <v>1</v>
      </c>
      <c r="C37" s="109"/>
      <c r="D37" s="125">
        <f t="shared" ref="D37:D52" si="5">$G$24*(1+$G$32)^(B37-1)</f>
        <v>438000</v>
      </c>
      <c r="E37" s="125">
        <f t="shared" ref="E37:E52" si="6">$G$25*(1+$G$32)^(B37-1)</f>
        <v>22447.5</v>
      </c>
      <c r="F37" s="125"/>
      <c r="G37" s="126"/>
      <c r="H37" s="125">
        <f>(C36)/16</f>
        <v>312500</v>
      </c>
      <c r="I37" s="125">
        <f t="shared" ref="I37:I51" si="7">$G$28*(1+$G$33)^(B37-1)</f>
        <v>1916250</v>
      </c>
      <c r="J37" s="125"/>
      <c r="K37" s="125">
        <f t="shared" ref="K37:K52" si="8">IF(I37&gt;0,I37*$G$31,0)</f>
        <v>479062.5</v>
      </c>
      <c r="L37" s="125">
        <f t="shared" si="4"/>
        <v>664240</v>
      </c>
      <c r="M37" s="127">
        <f>SUM($L$36:L37)</f>
        <v>-4335760</v>
      </c>
      <c r="N37" s="128">
        <f t="shared" ref="N37:N52" si="9">PV($G$30,B37,0,-L37)</f>
        <v>577600</v>
      </c>
      <c r="O37" s="22"/>
      <c r="P37" s="22"/>
      <c r="Q37" s="22"/>
      <c r="R37" s="22"/>
      <c r="S37" s="22"/>
      <c r="T37" s="22"/>
    </row>
    <row r="38" spans="2:20" ht="15" customHeight="1" x14ac:dyDescent="0.25">
      <c r="B38" s="129">
        <v>2</v>
      </c>
      <c r="C38" s="110"/>
      <c r="D38" s="130">
        <f t="shared" si="5"/>
        <v>516840</v>
      </c>
      <c r="E38" s="130">
        <f t="shared" si="6"/>
        <v>26488.05</v>
      </c>
      <c r="F38" s="130"/>
      <c r="G38" s="131"/>
      <c r="H38" s="130">
        <f>H37</f>
        <v>312500</v>
      </c>
      <c r="I38" s="125">
        <f t="shared" si="7"/>
        <v>2261175</v>
      </c>
      <c r="J38" s="125"/>
      <c r="K38" s="125">
        <f t="shared" si="8"/>
        <v>565293.75</v>
      </c>
      <c r="L38" s="125">
        <f t="shared" si="4"/>
        <v>840053.2</v>
      </c>
      <c r="M38" s="132">
        <f>SUM($L$36:L38)</f>
        <v>-3495706.8</v>
      </c>
      <c r="N38" s="133">
        <f t="shared" si="9"/>
        <v>635200.90737240086</v>
      </c>
      <c r="O38" s="22"/>
      <c r="P38" s="22"/>
      <c r="Q38" s="22"/>
      <c r="R38" s="22"/>
      <c r="S38" s="22"/>
      <c r="T38" s="22"/>
    </row>
    <row r="39" spans="2:20" ht="15" customHeight="1" x14ac:dyDescent="0.25">
      <c r="B39" s="129">
        <v>3</v>
      </c>
      <c r="C39" s="110"/>
      <c r="D39" s="130">
        <f t="shared" si="5"/>
        <v>609871.19999999995</v>
      </c>
      <c r="E39" s="130">
        <f t="shared" si="6"/>
        <v>31255.898999999998</v>
      </c>
      <c r="F39" s="130"/>
      <c r="G39" s="131"/>
      <c r="H39" s="130">
        <f t="shared" ref="H39:H52" si="10">H38</f>
        <v>312500</v>
      </c>
      <c r="I39" s="125">
        <f t="shared" si="7"/>
        <v>2668186.4999999995</v>
      </c>
      <c r="J39" s="125"/>
      <c r="K39" s="125">
        <f t="shared" si="8"/>
        <v>667046.62499999988</v>
      </c>
      <c r="L39" s="125">
        <f t="shared" si="4"/>
        <v>1047512.7759999996</v>
      </c>
      <c r="M39" s="132">
        <f>SUM($L$36:L39)</f>
        <v>-2448194.0240000002</v>
      </c>
      <c r="N39" s="133">
        <f t="shared" si="9"/>
        <v>688756.65389989305</v>
      </c>
      <c r="O39" s="22"/>
      <c r="P39" s="22"/>
      <c r="Q39" s="22"/>
      <c r="R39" s="22"/>
      <c r="S39" s="22"/>
      <c r="T39" s="22"/>
    </row>
    <row r="40" spans="2:20" ht="15" customHeight="1" x14ac:dyDescent="0.25">
      <c r="B40" s="129">
        <v>4</v>
      </c>
      <c r="C40" s="110"/>
      <c r="D40" s="130">
        <f t="shared" si="5"/>
        <v>719648.01599999995</v>
      </c>
      <c r="E40" s="130">
        <f t="shared" si="6"/>
        <v>36881.960819999993</v>
      </c>
      <c r="F40" s="130"/>
      <c r="G40" s="131"/>
      <c r="H40" s="130">
        <f t="shared" si="10"/>
        <v>312500</v>
      </c>
      <c r="I40" s="125">
        <f t="shared" si="7"/>
        <v>3148460.07</v>
      </c>
      <c r="J40" s="125"/>
      <c r="K40" s="125">
        <f t="shared" si="8"/>
        <v>787115.01749999996</v>
      </c>
      <c r="L40" s="125">
        <f t="shared" si="4"/>
        <v>1292315.0756799998</v>
      </c>
      <c r="M40" s="132">
        <f>SUM($L$36:L40)</f>
        <v>-1155878.9483200004</v>
      </c>
      <c r="N40" s="133">
        <f t="shared" si="9"/>
        <v>738885.33884884638</v>
      </c>
      <c r="O40" s="22"/>
      <c r="P40" s="22"/>
      <c r="Q40" s="22"/>
      <c r="R40" s="22"/>
      <c r="S40" s="22"/>
      <c r="T40" s="22"/>
    </row>
    <row r="41" spans="2:20" ht="15" customHeight="1" x14ac:dyDescent="0.25">
      <c r="B41" s="129">
        <v>5</v>
      </c>
      <c r="C41" s="110"/>
      <c r="D41" s="130">
        <f t="shared" si="5"/>
        <v>849184.65887999977</v>
      </c>
      <c r="E41" s="130">
        <f t="shared" si="6"/>
        <v>43520.713767599991</v>
      </c>
      <c r="F41" s="130"/>
      <c r="G41" s="131"/>
      <c r="H41" s="130">
        <f t="shared" si="10"/>
        <v>312500</v>
      </c>
      <c r="I41" s="125">
        <f t="shared" si="7"/>
        <v>3715182.8825999992</v>
      </c>
      <c r="J41" s="125"/>
      <c r="K41" s="125">
        <f t="shared" si="8"/>
        <v>928795.7206499998</v>
      </c>
      <c r="L41" s="125">
        <f t="shared" si="4"/>
        <v>1581181.7893023994</v>
      </c>
      <c r="M41" s="132">
        <f>SUM($L$36:L41)</f>
        <v>425302.84098239895</v>
      </c>
      <c r="N41" s="133">
        <f t="shared" si="9"/>
        <v>786126.79991847533</v>
      </c>
      <c r="O41" s="22"/>
      <c r="P41" s="22"/>
      <c r="Q41" s="22"/>
      <c r="R41" s="22"/>
      <c r="S41" s="22"/>
      <c r="T41" s="22"/>
    </row>
    <row r="42" spans="2:20" ht="15" customHeight="1" x14ac:dyDescent="0.25">
      <c r="B42" s="129">
        <v>6</v>
      </c>
      <c r="C42" s="110"/>
      <c r="D42" s="130">
        <f t="shared" si="5"/>
        <v>1002037.8974783997</v>
      </c>
      <c r="E42" s="130">
        <f t="shared" si="6"/>
        <v>51354.442245767983</v>
      </c>
      <c r="F42" s="130">
        <f>(M17+J17)*(1+G32)^(B42-1)</f>
        <v>592986.81056255975</v>
      </c>
      <c r="G42" s="130">
        <f>G27*(1+G32)^(B42-1)</f>
        <v>1143878.8783999996</v>
      </c>
      <c r="H42" s="130">
        <f t="shared" si="10"/>
        <v>312500</v>
      </c>
      <c r="I42" s="125">
        <f t="shared" si="7"/>
        <v>4383915.801467998</v>
      </c>
      <c r="J42" s="125"/>
      <c r="K42" s="125">
        <f t="shared" si="8"/>
        <v>1095978.9503669995</v>
      </c>
      <c r="L42" s="125">
        <f t="shared" si="4"/>
        <v>185178.82241427153</v>
      </c>
      <c r="M42" s="132">
        <f>SUM($L$36:L42)</f>
        <v>610481.66339667048</v>
      </c>
      <c r="N42" s="133">
        <f t="shared" si="9"/>
        <v>80057.915108095054</v>
      </c>
      <c r="O42" s="22"/>
      <c r="P42" s="22"/>
      <c r="Q42" s="22"/>
      <c r="R42" s="22"/>
      <c r="S42" s="22"/>
      <c r="T42" s="22"/>
    </row>
    <row r="43" spans="2:20" ht="15" customHeight="1" x14ac:dyDescent="0.25">
      <c r="B43" s="129">
        <v>7</v>
      </c>
      <c r="C43" s="110"/>
      <c r="D43" s="130">
        <f t="shared" si="5"/>
        <v>1182404.7190245118</v>
      </c>
      <c r="E43" s="130">
        <f t="shared" si="6"/>
        <v>60598.241850006227</v>
      </c>
      <c r="F43" s="130"/>
      <c r="G43" s="131"/>
      <c r="H43" s="130">
        <f>H42+(G42/10)</f>
        <v>426887.88783999998</v>
      </c>
      <c r="I43" s="125">
        <f t="shared" si="7"/>
        <v>5173020.6457322389</v>
      </c>
      <c r="J43" s="125"/>
      <c r="K43" s="125">
        <f t="shared" si="8"/>
        <v>1293255.1614330597</v>
      </c>
      <c r="L43" s="125">
        <f t="shared" si="4"/>
        <v>2209874.6355846613</v>
      </c>
      <c r="M43" s="132">
        <f>SUM($L$36:L43)</f>
        <v>2820356.2989813318</v>
      </c>
      <c r="N43" s="133">
        <f t="shared" si="9"/>
        <v>830773.72910282062</v>
      </c>
      <c r="O43" s="22"/>
      <c r="P43" s="22"/>
      <c r="Q43" s="22"/>
      <c r="R43" s="22"/>
      <c r="S43" s="22"/>
      <c r="T43" s="22"/>
    </row>
    <row r="44" spans="2:20" ht="15" customHeight="1" x14ac:dyDescent="0.25">
      <c r="B44" s="129">
        <v>8</v>
      </c>
      <c r="C44" s="110"/>
      <c r="D44" s="130">
        <f t="shared" si="5"/>
        <v>1395237.5684489238</v>
      </c>
      <c r="E44" s="130">
        <f t="shared" si="6"/>
        <v>71505.925383007343</v>
      </c>
      <c r="F44" s="130"/>
      <c r="G44" s="131"/>
      <c r="H44" s="130">
        <f t="shared" si="10"/>
        <v>426887.88783999998</v>
      </c>
      <c r="I44" s="125">
        <f t="shared" si="7"/>
        <v>6104164.3619640414</v>
      </c>
      <c r="J44" s="125"/>
      <c r="K44" s="125">
        <f t="shared" si="8"/>
        <v>1526041.0904910103</v>
      </c>
      <c r="L44" s="125">
        <f t="shared" si="4"/>
        <v>2684491.8898010999</v>
      </c>
      <c r="M44" s="132">
        <f>SUM($L$36:L44)</f>
        <v>5504848.1887824312</v>
      </c>
      <c r="N44" s="133">
        <f t="shared" si="9"/>
        <v>877565.16065163014</v>
      </c>
      <c r="O44" s="22"/>
      <c r="P44" s="22"/>
      <c r="Q44" s="22"/>
      <c r="R44" s="22"/>
      <c r="S44" s="22"/>
      <c r="T44" s="22"/>
    </row>
    <row r="45" spans="2:20" ht="15" customHeight="1" x14ac:dyDescent="0.25">
      <c r="B45" s="129">
        <v>9</v>
      </c>
      <c r="C45" s="110"/>
      <c r="D45" s="130">
        <f t="shared" si="5"/>
        <v>1646380.3307697298</v>
      </c>
      <c r="E45" s="130">
        <f t="shared" si="6"/>
        <v>84376.991951948658</v>
      </c>
      <c r="F45" s="130"/>
      <c r="G45" s="131"/>
      <c r="H45" s="130">
        <f t="shared" si="10"/>
        <v>426887.88783999998</v>
      </c>
      <c r="I45" s="125">
        <f t="shared" si="7"/>
        <v>7202913.947117568</v>
      </c>
      <c r="J45" s="125"/>
      <c r="K45" s="125">
        <f t="shared" si="8"/>
        <v>1800728.486779392</v>
      </c>
      <c r="L45" s="125">
        <f t="shared" si="4"/>
        <v>3244540.2497764975</v>
      </c>
      <c r="M45" s="132">
        <f>SUM($L$36:L45)</f>
        <v>8749388.4385589287</v>
      </c>
      <c r="N45" s="133">
        <f t="shared" si="9"/>
        <v>922300.83736280398</v>
      </c>
      <c r="O45" s="22"/>
      <c r="P45" s="22"/>
      <c r="Q45" s="22"/>
      <c r="R45" s="22"/>
      <c r="S45" s="22"/>
      <c r="T45" s="22"/>
    </row>
    <row r="46" spans="2:20" ht="15" customHeight="1" x14ac:dyDescent="0.25">
      <c r="B46" s="129">
        <v>10</v>
      </c>
      <c r="C46" s="110"/>
      <c r="D46" s="130">
        <f t="shared" si="5"/>
        <v>1942728.7903082811</v>
      </c>
      <c r="E46" s="130">
        <f t="shared" si="6"/>
        <v>99564.850503299414</v>
      </c>
      <c r="F46" s="130"/>
      <c r="G46" s="131"/>
      <c r="H46" s="130">
        <f t="shared" si="10"/>
        <v>426887.88783999998</v>
      </c>
      <c r="I46" s="125">
        <f t="shared" si="7"/>
        <v>8499438.4575987309</v>
      </c>
      <c r="J46" s="125"/>
      <c r="K46" s="125">
        <f t="shared" si="8"/>
        <v>2124859.6143996827</v>
      </c>
      <c r="L46" s="125">
        <f t="shared" si="4"/>
        <v>3905397.314547468</v>
      </c>
      <c r="M46" s="132">
        <f>SUM($L$36:L46)</f>
        <v>12654785.753106397</v>
      </c>
      <c r="N46" s="133">
        <f t="shared" si="9"/>
        <v>965354.48748553998</v>
      </c>
      <c r="O46" s="22"/>
      <c r="P46" s="22"/>
      <c r="Q46" s="22"/>
      <c r="R46" s="22"/>
      <c r="S46" s="22"/>
      <c r="T46" s="22"/>
    </row>
    <row r="47" spans="2:20" ht="15" customHeight="1" x14ac:dyDescent="0.25">
      <c r="B47" s="129">
        <v>11</v>
      </c>
      <c r="C47" s="110"/>
      <c r="D47" s="130">
        <f t="shared" si="5"/>
        <v>2292419.9725637715</v>
      </c>
      <c r="E47" s="130">
        <f t="shared" si="6"/>
        <v>117486.52359389329</v>
      </c>
      <c r="F47" s="130"/>
      <c r="G47" s="131"/>
      <c r="H47" s="130">
        <f t="shared" si="10"/>
        <v>426887.88783999998</v>
      </c>
      <c r="I47" s="125">
        <f t="shared" si="7"/>
        <v>10029337.379966501</v>
      </c>
      <c r="J47" s="125"/>
      <c r="K47" s="125">
        <f t="shared" si="8"/>
        <v>2507334.3449916253</v>
      </c>
      <c r="L47" s="125">
        <f t="shared" si="4"/>
        <v>4685208.6509772111</v>
      </c>
      <c r="M47" s="132">
        <f>SUM($L$36:L47)</f>
        <v>17339994.40408361</v>
      </c>
      <c r="N47" s="133">
        <f t="shared" si="9"/>
        <v>1007053.8465316745</v>
      </c>
      <c r="O47" s="22"/>
      <c r="P47" s="22"/>
      <c r="Q47" s="22"/>
      <c r="R47" s="22"/>
      <c r="S47" s="22"/>
      <c r="T47" s="22"/>
    </row>
    <row r="48" spans="2:20" ht="15" customHeight="1" x14ac:dyDescent="0.25">
      <c r="B48" s="129">
        <v>12</v>
      </c>
      <c r="C48" s="110"/>
      <c r="D48" s="130">
        <f t="shared" si="5"/>
        <v>2705055.5676252502</v>
      </c>
      <c r="E48" s="130">
        <f t="shared" si="6"/>
        <v>138634.09784079407</v>
      </c>
      <c r="F48" s="130">
        <f>(M17+J17)*(1+G32)^(B48-1)</f>
        <v>1600800.0071426139</v>
      </c>
      <c r="G48" s="131"/>
      <c r="H48" s="130">
        <f t="shared" si="10"/>
        <v>426887.88783999998</v>
      </c>
      <c r="I48" s="125">
        <f t="shared" si="7"/>
        <v>11834618.108360471</v>
      </c>
      <c r="J48" s="125"/>
      <c r="K48" s="125">
        <f t="shared" si="8"/>
        <v>2958654.5270901178</v>
      </c>
      <c r="L48" s="125">
        <f t="shared" si="4"/>
        <v>4004586.0208216961</v>
      </c>
      <c r="M48" s="132">
        <f>SUM($L$36:L48)</f>
        <v>21344580.424905308</v>
      </c>
      <c r="N48" s="133">
        <f t="shared" si="9"/>
        <v>748485.76082914439</v>
      </c>
      <c r="O48" s="22"/>
      <c r="P48" s="22"/>
      <c r="Q48" s="22"/>
      <c r="R48" s="22"/>
      <c r="S48" s="22"/>
      <c r="T48" s="22"/>
    </row>
    <row r="49" spans="2:20" ht="15" customHeight="1" x14ac:dyDescent="0.25">
      <c r="B49" s="129">
        <v>13</v>
      </c>
      <c r="C49" s="110"/>
      <c r="D49" s="130">
        <f t="shared" si="5"/>
        <v>3191965.5697977948</v>
      </c>
      <c r="E49" s="130">
        <f t="shared" si="6"/>
        <v>163588.23545213699</v>
      </c>
      <c r="F49" s="130"/>
      <c r="G49" s="131"/>
      <c r="H49" s="130">
        <f t="shared" si="10"/>
        <v>426887.88783999998</v>
      </c>
      <c r="I49" s="125">
        <f t="shared" si="7"/>
        <v>13964849.367865354</v>
      </c>
      <c r="J49" s="125"/>
      <c r="K49" s="125">
        <f t="shared" si="8"/>
        <v>3491212.3419663385</v>
      </c>
      <c r="L49" s="125">
        <f t="shared" si="4"/>
        <v>6691195.3328090832</v>
      </c>
      <c r="M49" s="132">
        <f>SUM($L$36:L49)</f>
        <v>28035775.757714391</v>
      </c>
      <c r="N49" s="133">
        <f t="shared" si="9"/>
        <v>1087506.3052153622</v>
      </c>
      <c r="O49" s="22"/>
      <c r="P49" s="22"/>
      <c r="Q49" s="22"/>
      <c r="R49" s="22"/>
      <c r="S49" s="22"/>
      <c r="T49" s="22"/>
    </row>
    <row r="50" spans="2:20" ht="15" customHeight="1" x14ac:dyDescent="0.25">
      <c r="B50" s="129">
        <v>14</v>
      </c>
      <c r="C50" s="110"/>
      <c r="D50" s="130">
        <f t="shared" si="5"/>
        <v>3766519.3723613978</v>
      </c>
      <c r="E50" s="130">
        <f t="shared" si="6"/>
        <v>193034.11783352165</v>
      </c>
      <c r="F50" s="130"/>
      <c r="G50" s="131"/>
      <c r="H50" s="130">
        <f t="shared" si="10"/>
        <v>426887.88783999998</v>
      </c>
      <c r="I50" s="125">
        <f t="shared" si="7"/>
        <v>16478522.254081115</v>
      </c>
      <c r="J50" s="125"/>
      <c r="K50" s="125">
        <f t="shared" si="8"/>
        <v>4119630.5635202788</v>
      </c>
      <c r="L50" s="125">
        <f t="shared" si="4"/>
        <v>7972450.3125259168</v>
      </c>
      <c r="M50" s="132">
        <f>SUM($L$36:L50)</f>
        <v>36008226.070240304</v>
      </c>
      <c r="N50" s="133">
        <f t="shared" si="9"/>
        <v>1126735.7035304459</v>
      </c>
      <c r="O50" s="22"/>
      <c r="P50" s="22"/>
      <c r="Q50" s="22"/>
      <c r="R50" s="22"/>
      <c r="S50" s="22"/>
      <c r="T50" s="22"/>
    </row>
    <row r="51" spans="2:20" ht="15" customHeight="1" x14ac:dyDescent="0.25">
      <c r="B51" s="129">
        <v>15</v>
      </c>
      <c r="C51" s="110"/>
      <c r="D51" s="130">
        <f t="shared" si="5"/>
        <v>4444492.8593864497</v>
      </c>
      <c r="E51" s="130">
        <f t="shared" si="6"/>
        <v>227780.25904355553</v>
      </c>
      <c r="F51" s="130"/>
      <c r="G51" s="131"/>
      <c r="H51" s="130">
        <f t="shared" si="10"/>
        <v>426887.88783999998</v>
      </c>
      <c r="I51" s="134">
        <f t="shared" si="7"/>
        <v>19444656.259815715</v>
      </c>
      <c r="J51" s="134"/>
      <c r="K51" s="125">
        <f t="shared" si="8"/>
        <v>4861164.0649539288</v>
      </c>
      <c r="L51" s="125">
        <f t="shared" si="4"/>
        <v>9484331.188591782</v>
      </c>
      <c r="M51" s="132">
        <f>SUM($L$36:L51)</f>
        <v>45492557.258832082</v>
      </c>
      <c r="N51" s="133">
        <f t="shared" si="9"/>
        <v>1165571.9989389044</v>
      </c>
      <c r="O51" s="22"/>
      <c r="P51" s="22"/>
      <c r="Q51" s="22"/>
      <c r="R51" s="22"/>
      <c r="S51" s="22"/>
      <c r="T51" s="22"/>
    </row>
    <row r="52" spans="2:20" ht="15" customHeight="1" thickBot="1" x14ac:dyDescent="0.3">
      <c r="B52" s="135">
        <v>16</v>
      </c>
      <c r="C52" s="136"/>
      <c r="D52" s="136">
        <f t="shared" si="5"/>
        <v>5244501.5740760108</v>
      </c>
      <c r="E52" s="136">
        <f t="shared" si="6"/>
        <v>268780.70567139552</v>
      </c>
      <c r="F52" s="136"/>
      <c r="G52" s="137"/>
      <c r="H52" s="136">
        <f t="shared" si="10"/>
        <v>426887.88783999998</v>
      </c>
      <c r="I52" s="136">
        <f>($G$28*(1+$G$33)^(B52-1))+J52</f>
        <v>28931568.329591691</v>
      </c>
      <c r="J52" s="136">
        <f>G29*(1+G32)^(B52-1)</f>
        <v>5986873.9430091446</v>
      </c>
      <c r="K52" s="138">
        <f t="shared" si="8"/>
        <v>7232892.0823979229</v>
      </c>
      <c r="L52" s="138">
        <f t="shared" si="4"/>
        <v>15758506.079606362</v>
      </c>
      <c r="M52" s="139">
        <f>SUM($L$36:L52)</f>
        <v>61251063.338438444</v>
      </c>
      <c r="N52" s="140">
        <f t="shared" si="9"/>
        <v>1684029.1237029475</v>
      </c>
      <c r="O52" s="22"/>
      <c r="P52" s="22"/>
      <c r="Q52" s="22"/>
      <c r="R52" s="22"/>
      <c r="S52" s="22"/>
      <c r="T52" s="22"/>
    </row>
    <row r="53" spans="2:20" ht="15.75" thickBot="1" x14ac:dyDescent="0.3"/>
    <row r="54" spans="2:20" ht="112.9" customHeight="1" thickBot="1" x14ac:dyDescent="0.3">
      <c r="B54" s="259" t="s">
        <v>67</v>
      </c>
      <c r="C54" s="260"/>
      <c r="D54" s="260"/>
      <c r="E54" s="260"/>
      <c r="F54" s="260"/>
      <c r="G54" s="260"/>
      <c r="H54" s="261"/>
      <c r="I54" s="55" t="s">
        <v>2</v>
      </c>
      <c r="J54" s="56">
        <f>NPV(G30,L36:L52)</f>
        <v>7758264.8421730287</v>
      </c>
      <c r="K54" s="57"/>
      <c r="L54" s="58"/>
      <c r="M54" s="58"/>
      <c r="N54" s="58"/>
      <c r="O54" s="58"/>
      <c r="P54" s="58"/>
      <c r="Q54" s="58"/>
      <c r="R54" s="58"/>
    </row>
    <row r="55" spans="2:20" ht="99" customHeight="1" thickBot="1" x14ac:dyDescent="0.3">
      <c r="B55" s="259" t="s">
        <v>58</v>
      </c>
      <c r="C55" s="260"/>
      <c r="D55" s="260"/>
      <c r="E55" s="260"/>
      <c r="F55" s="260"/>
      <c r="G55" s="260"/>
      <c r="H55" s="261"/>
      <c r="I55" s="59" t="s">
        <v>6</v>
      </c>
      <c r="J55" s="60">
        <f>IFERROR(IRR(L36:L52),"به دلیل NPV منفی قابل محاسبه نیست.")</f>
        <v>0.29818927910505377</v>
      </c>
    </row>
    <row r="56" spans="2:20" ht="104.45" customHeight="1" thickBot="1" x14ac:dyDescent="0.3">
      <c r="B56" s="259" t="s">
        <v>68</v>
      </c>
      <c r="C56" s="260"/>
      <c r="D56" s="260"/>
      <c r="E56" s="260"/>
      <c r="F56" s="260"/>
      <c r="G56" s="260"/>
      <c r="H56" s="261"/>
      <c r="I56" s="61" t="s">
        <v>59</v>
      </c>
      <c r="J56" s="62">
        <f>COUNTIF(M36:M52,"&lt;0")</f>
        <v>5</v>
      </c>
    </row>
  </sheetData>
  <mergeCells count="59">
    <mergeCell ref="B54:H54"/>
    <mergeCell ref="B55:H55"/>
    <mergeCell ref="B56:H56"/>
    <mergeCell ref="N3:S3"/>
    <mergeCell ref="M5:M6"/>
    <mergeCell ref="J5:J6"/>
    <mergeCell ref="J11:J13"/>
    <mergeCell ref="B24:F24"/>
    <mergeCell ref="B28:F28"/>
    <mergeCell ref="B30:F30"/>
    <mergeCell ref="B29:F29"/>
    <mergeCell ref="B27:F27"/>
    <mergeCell ref="B31:F31"/>
    <mergeCell ref="B25:F25"/>
    <mergeCell ref="B20:F20"/>
    <mergeCell ref="B33:F33"/>
    <mergeCell ref="I15:N15"/>
    <mergeCell ref="B22:F22"/>
    <mergeCell ref="B32:F32"/>
    <mergeCell ref="B26:F26"/>
    <mergeCell ref="B23:F23"/>
    <mergeCell ref="G11:G13"/>
    <mergeCell ref="B5:B6"/>
    <mergeCell ref="B19:F19"/>
    <mergeCell ref="B18:F18"/>
    <mergeCell ref="B11:B13"/>
    <mergeCell ref="B7:B10"/>
    <mergeCell ref="G7:G10"/>
    <mergeCell ref="R5:R6"/>
    <mergeCell ref="R11:R13"/>
    <mergeCell ref="T5:T6"/>
    <mergeCell ref="T11:T13"/>
    <mergeCell ref="P5:P6"/>
    <mergeCell ref="S5:S6"/>
    <mergeCell ref="P11:P13"/>
    <mergeCell ref="S7:S10"/>
    <mergeCell ref="T7:T10"/>
    <mergeCell ref="B2:U2"/>
    <mergeCell ref="T3:U3"/>
    <mergeCell ref="B15:F15"/>
    <mergeCell ref="B16:F16"/>
    <mergeCell ref="B17:F17"/>
    <mergeCell ref="C3:G3"/>
    <mergeCell ref="H3:J3"/>
    <mergeCell ref="K3:M3"/>
    <mergeCell ref="Q5:Q6"/>
    <mergeCell ref="Q11:Q13"/>
    <mergeCell ref="S11:S13"/>
    <mergeCell ref="B3:B4"/>
    <mergeCell ref="G5:G6"/>
    <mergeCell ref="U5:U6"/>
    <mergeCell ref="U11:U13"/>
    <mergeCell ref="M11:M13"/>
    <mergeCell ref="U7:U10"/>
    <mergeCell ref="J7:J10"/>
    <mergeCell ref="M7:M10"/>
    <mergeCell ref="P7:P10"/>
    <mergeCell ref="Q7:Q10"/>
    <mergeCell ref="R7:R10"/>
  </mergeCells>
  <conditionalFormatting sqref="C39:D48 G23:G27 B39:B52 B36:D38 F36:F48 H36:H48 I36:I52">
    <cfRule type="expression" dxfId="35" priority="18">
      <formula>#REF!&gt;#REF!</formula>
    </cfRule>
  </conditionalFormatting>
  <conditionalFormatting sqref="H49:H52 C49:D52 F49:F52">
    <cfRule type="expression" dxfId="34" priority="28">
      <formula>#REF!&gt;#REF!</formula>
    </cfRule>
  </conditionalFormatting>
  <conditionalFormatting sqref="G28:G29 M36:M52">
    <cfRule type="expression" dxfId="33" priority="29">
      <formula>#REF!&gt;#REF!</formula>
    </cfRule>
  </conditionalFormatting>
  <conditionalFormatting sqref="K36:K52">
    <cfRule type="expression" dxfId="32" priority="8">
      <formula>#REF!&gt;#REF!</formula>
    </cfRule>
  </conditionalFormatting>
  <conditionalFormatting sqref="L37:L52">
    <cfRule type="expression" dxfId="31" priority="7">
      <formula>#REF!&gt;#REF!</formula>
    </cfRule>
  </conditionalFormatting>
  <conditionalFormatting sqref="L36">
    <cfRule type="expression" dxfId="30" priority="6">
      <formula>#REF!&gt;#REF!</formula>
    </cfRule>
  </conditionalFormatting>
  <conditionalFormatting sqref="J36:J52">
    <cfRule type="expression" dxfId="29" priority="5">
      <formula>#REF!&gt;#REF!</formula>
    </cfRule>
  </conditionalFormatting>
  <conditionalFormatting sqref="E36">
    <cfRule type="expression" dxfId="28" priority="3">
      <formula>#REF!&gt;#REF!</formula>
    </cfRule>
  </conditionalFormatting>
  <conditionalFormatting sqref="E37:E48">
    <cfRule type="expression" dxfId="27" priority="1">
      <formula>#REF!&gt;#REF!</formula>
    </cfRule>
  </conditionalFormatting>
  <conditionalFormatting sqref="E49:E52">
    <cfRule type="expression" dxfId="26" priority="2">
      <formula>#REF!&gt;#REF!</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7"/>
  <sheetViews>
    <sheetView zoomScale="85" zoomScaleNormal="85" workbookViewId="0">
      <selection activeCell="B2" sqref="B2:U2"/>
    </sheetView>
  </sheetViews>
  <sheetFormatPr defaultRowHeight="15" x14ac:dyDescent="0.25"/>
  <cols>
    <col min="2" max="2" width="23.42578125" customWidth="1"/>
    <col min="3" max="3" width="18.42578125" customWidth="1"/>
    <col min="4" max="6" width="13.42578125" customWidth="1"/>
    <col min="7" max="7" width="31.140625" customWidth="1"/>
    <col min="8" max="8" width="22.85546875" style="1" customWidth="1"/>
    <col min="9" max="9" width="19.42578125" style="1" customWidth="1"/>
    <col min="10" max="10" width="20.42578125" style="1" customWidth="1"/>
    <col min="11" max="11" width="19.42578125" style="1" customWidth="1"/>
    <col min="12" max="12" width="20.42578125" style="1" customWidth="1"/>
    <col min="13" max="13" width="19.42578125" style="1" customWidth="1"/>
    <col min="14" max="14" width="32.42578125" style="1" customWidth="1"/>
    <col min="15" max="20" width="13.85546875" style="1" customWidth="1"/>
    <col min="21" max="21" width="12.42578125" customWidth="1"/>
  </cols>
  <sheetData>
    <row r="1" spans="2:21" ht="15.75" thickBot="1" x14ac:dyDescent="0.3"/>
    <row r="2" spans="2:21" ht="43.5" customHeight="1" thickBot="1" x14ac:dyDescent="0.3">
      <c r="B2" s="199" t="s">
        <v>119</v>
      </c>
      <c r="C2" s="200"/>
      <c r="D2" s="200"/>
      <c r="E2" s="200"/>
      <c r="F2" s="200"/>
      <c r="G2" s="200"/>
      <c r="H2" s="200"/>
      <c r="I2" s="200"/>
      <c r="J2" s="200"/>
      <c r="K2" s="200"/>
      <c r="L2" s="200"/>
      <c r="M2" s="200"/>
      <c r="N2" s="200"/>
      <c r="O2" s="200"/>
      <c r="P2" s="200"/>
      <c r="Q2" s="200"/>
      <c r="R2" s="200"/>
      <c r="S2" s="200"/>
      <c r="T2" s="200"/>
      <c r="U2" s="201"/>
    </row>
    <row r="3" spans="2:21" ht="33.75" customHeight="1" x14ac:dyDescent="0.25">
      <c r="B3" s="281" t="s">
        <v>90</v>
      </c>
      <c r="C3" s="283" t="s">
        <v>9</v>
      </c>
      <c r="D3" s="210"/>
      <c r="E3" s="210"/>
      <c r="F3" s="210"/>
      <c r="G3" s="210"/>
      <c r="H3" s="211" t="s">
        <v>10</v>
      </c>
      <c r="I3" s="212"/>
      <c r="J3" s="213"/>
      <c r="K3" s="211" t="s">
        <v>11</v>
      </c>
      <c r="L3" s="212"/>
      <c r="M3" s="213"/>
      <c r="N3" s="202" t="s">
        <v>12</v>
      </c>
      <c r="O3" s="262"/>
      <c r="P3" s="262"/>
      <c r="Q3" s="262"/>
      <c r="R3" s="262"/>
      <c r="S3" s="262"/>
      <c r="T3" s="202" t="s">
        <v>13</v>
      </c>
      <c r="U3" s="203"/>
    </row>
    <row r="4" spans="2:21" ht="109.5" customHeight="1" thickBot="1" x14ac:dyDescent="0.3">
      <c r="B4" s="282"/>
      <c r="C4" s="24" t="s">
        <v>14</v>
      </c>
      <c r="D4" s="24" t="s">
        <v>15</v>
      </c>
      <c r="E4" s="24" t="s">
        <v>16</v>
      </c>
      <c r="F4" s="24" t="s">
        <v>18</v>
      </c>
      <c r="G4" s="64" t="s">
        <v>17</v>
      </c>
      <c r="H4" s="25" t="s">
        <v>69</v>
      </c>
      <c r="I4" s="26" t="s">
        <v>21</v>
      </c>
      <c r="J4" s="65" t="s">
        <v>70</v>
      </c>
      <c r="K4" s="25" t="s">
        <v>19</v>
      </c>
      <c r="L4" s="26" t="s">
        <v>79</v>
      </c>
      <c r="M4" s="65" t="s">
        <v>22</v>
      </c>
      <c r="N4" s="25" t="s">
        <v>23</v>
      </c>
      <c r="O4" s="25" t="s">
        <v>24</v>
      </c>
      <c r="P4" s="25" t="s">
        <v>25</v>
      </c>
      <c r="Q4" s="26" t="s">
        <v>26</v>
      </c>
      <c r="R4" s="27" t="s">
        <v>27</v>
      </c>
      <c r="S4" s="66" t="s">
        <v>28</v>
      </c>
      <c r="T4" s="67" t="s">
        <v>101</v>
      </c>
      <c r="U4" s="28" t="s">
        <v>99</v>
      </c>
    </row>
    <row r="5" spans="2:21" ht="48" customHeight="1" x14ac:dyDescent="0.25">
      <c r="B5" s="273" t="s">
        <v>92</v>
      </c>
      <c r="C5" s="71" t="s">
        <v>57</v>
      </c>
      <c r="D5" s="29">
        <v>20000</v>
      </c>
      <c r="E5" s="29">
        <v>50</v>
      </c>
      <c r="F5" s="29">
        <f t="shared" ref="F5:F10" si="0">D5*E5/100</f>
        <v>10000</v>
      </c>
      <c r="G5" s="221">
        <f>(SUM(F5:F6)/D5)*100</f>
        <v>75</v>
      </c>
      <c r="H5" s="30">
        <v>300</v>
      </c>
      <c r="I5" s="70">
        <f>F5*H5/1000</f>
        <v>3000</v>
      </c>
      <c r="J5" s="187">
        <f>SUMPRODUCT(F5:F6,H5:H6)/SUM(F5:F6)</f>
        <v>333.33333333333331</v>
      </c>
      <c r="K5" s="30">
        <v>6</v>
      </c>
      <c r="L5" s="32">
        <f t="shared" ref="L5:L10" si="1">F5*(K5/100)</f>
        <v>600</v>
      </c>
      <c r="M5" s="190">
        <f>SUMPRODUCT(F5:F6,K5:K6)/SUM(F5:F6)</f>
        <v>8</v>
      </c>
      <c r="N5" s="82">
        <v>0.8</v>
      </c>
      <c r="O5" s="98">
        <f t="shared" ref="O5:O10" si="2">F5*N5</f>
        <v>8000</v>
      </c>
      <c r="P5" s="191">
        <f>SUM(O5:O6)</f>
        <v>20500</v>
      </c>
      <c r="Q5" s="194">
        <v>0.3</v>
      </c>
      <c r="R5" s="197">
        <f>(P5*Q5)/100</f>
        <v>61.5</v>
      </c>
      <c r="S5" s="231">
        <f>(P5/SUM(F5:F6))*Q5</f>
        <v>0.41</v>
      </c>
      <c r="T5" s="225">
        <f>Result!E4</f>
        <v>0.35</v>
      </c>
      <c r="U5" s="183">
        <f>(F5+F6)*T5</f>
        <v>5250</v>
      </c>
    </row>
    <row r="6" spans="2:21" ht="48" customHeight="1" thickBot="1" x14ac:dyDescent="0.3">
      <c r="B6" s="284"/>
      <c r="C6" s="26" t="s">
        <v>0</v>
      </c>
      <c r="D6" s="34">
        <v>10000</v>
      </c>
      <c r="E6" s="34">
        <v>50</v>
      </c>
      <c r="F6" s="34">
        <f t="shared" si="0"/>
        <v>5000</v>
      </c>
      <c r="G6" s="222"/>
      <c r="H6" s="35">
        <v>400</v>
      </c>
      <c r="I6" s="36">
        <f t="shared" ref="I6:I8" si="3">F6*H6/1000</f>
        <v>2000</v>
      </c>
      <c r="J6" s="264"/>
      <c r="K6" s="35">
        <v>12</v>
      </c>
      <c r="L6" s="37">
        <f t="shared" si="1"/>
        <v>600</v>
      </c>
      <c r="M6" s="263"/>
      <c r="N6" s="93">
        <v>2.5</v>
      </c>
      <c r="O6" s="99">
        <f t="shared" si="2"/>
        <v>12500</v>
      </c>
      <c r="P6" s="230"/>
      <c r="Q6" s="214"/>
      <c r="R6" s="224"/>
      <c r="S6" s="232"/>
      <c r="T6" s="226"/>
      <c r="U6" s="223"/>
    </row>
    <row r="7" spans="2:21" ht="48" customHeight="1" x14ac:dyDescent="0.25">
      <c r="B7" s="273" t="s">
        <v>95</v>
      </c>
      <c r="C7" s="71" t="s">
        <v>1</v>
      </c>
      <c r="D7" s="29">
        <v>20000</v>
      </c>
      <c r="E7" s="29">
        <v>50</v>
      </c>
      <c r="F7" s="29">
        <f t="shared" si="0"/>
        <v>10000</v>
      </c>
      <c r="G7" s="221">
        <f>(SUM(F7+F10)/D7)*100</f>
        <v>82.242000000000004</v>
      </c>
      <c r="H7" s="38">
        <v>300</v>
      </c>
      <c r="I7" s="33">
        <f t="shared" si="3"/>
        <v>3000</v>
      </c>
      <c r="J7" s="186">
        <f>SUMPRODUCT(F7:F10,H7:H10)/SUM(F7:F10)</f>
        <v>245.17478652243065</v>
      </c>
      <c r="K7" s="38">
        <v>6</v>
      </c>
      <c r="L7" s="39">
        <f t="shared" si="1"/>
        <v>600</v>
      </c>
      <c r="M7" s="189">
        <f>SUMPRODUCT(F7:F10,K7:K10)/SUM(F7:F10)</f>
        <v>4.6513406504156745</v>
      </c>
      <c r="N7" s="82">
        <v>0.8</v>
      </c>
      <c r="O7" s="98">
        <f t="shared" si="2"/>
        <v>8000</v>
      </c>
      <c r="P7" s="191">
        <f>SUM(O7:O10)</f>
        <v>17480.52</v>
      </c>
      <c r="Q7" s="194">
        <v>0.3</v>
      </c>
      <c r="R7" s="197">
        <f>(P7*Q7)/100</f>
        <v>52.441560000000003</v>
      </c>
      <c r="S7" s="235">
        <f>(P7/SUM(F7:F10))*Q7</f>
        <v>0.14788767188187385</v>
      </c>
      <c r="T7" s="236">
        <f>Result!E7</f>
        <v>0.35</v>
      </c>
      <c r="U7" s="183">
        <f>(F7+F10)*T7</f>
        <v>5756.9400000000005</v>
      </c>
    </row>
    <row r="8" spans="2:21" ht="48" customHeight="1" x14ac:dyDescent="0.25">
      <c r="B8" s="274"/>
      <c r="C8" s="40" t="s">
        <v>75</v>
      </c>
      <c r="D8" s="41">
        <v>10000</v>
      </c>
      <c r="E8" s="41">
        <v>98</v>
      </c>
      <c r="F8" s="41">
        <f t="shared" si="0"/>
        <v>9800</v>
      </c>
      <c r="G8" s="238"/>
      <c r="H8" s="42">
        <v>33</v>
      </c>
      <c r="I8" s="43">
        <f t="shared" si="3"/>
        <v>323.39999999999998</v>
      </c>
      <c r="J8" s="187"/>
      <c r="K8" s="42">
        <v>3</v>
      </c>
      <c r="L8" s="44">
        <f t="shared" si="1"/>
        <v>294</v>
      </c>
      <c r="M8" s="190"/>
      <c r="N8" s="94">
        <v>0.3</v>
      </c>
      <c r="O8" s="100">
        <f t="shared" si="2"/>
        <v>2940</v>
      </c>
      <c r="P8" s="192"/>
      <c r="Q8" s="195"/>
      <c r="R8" s="198"/>
      <c r="S8" s="217"/>
      <c r="T8" s="227"/>
      <c r="U8" s="184"/>
    </row>
    <row r="9" spans="2:21" ht="45" customHeight="1" x14ac:dyDescent="0.25">
      <c r="B9" s="274"/>
      <c r="C9" s="24" t="s">
        <v>81</v>
      </c>
      <c r="D9" s="77">
        <v>9800</v>
      </c>
      <c r="E9" s="77">
        <v>94</v>
      </c>
      <c r="F9" s="77">
        <f t="shared" si="0"/>
        <v>9212</v>
      </c>
      <c r="G9" s="238"/>
      <c r="H9" s="78">
        <v>373</v>
      </c>
      <c r="I9" s="79">
        <f>F9*H9/1000</f>
        <v>3436.076</v>
      </c>
      <c r="J9" s="187"/>
      <c r="K9" s="78">
        <v>4</v>
      </c>
      <c r="L9" s="80">
        <f t="shared" si="1"/>
        <v>368.48</v>
      </c>
      <c r="M9" s="190"/>
      <c r="N9" s="95">
        <v>0.15</v>
      </c>
      <c r="O9" s="101">
        <f t="shared" si="2"/>
        <v>1381.8</v>
      </c>
      <c r="P9" s="192"/>
      <c r="Q9" s="195"/>
      <c r="R9" s="198"/>
      <c r="S9" s="217"/>
      <c r="T9" s="227"/>
      <c r="U9" s="184"/>
    </row>
    <row r="10" spans="2:21" ht="45" customHeight="1" thickBot="1" x14ac:dyDescent="0.3">
      <c r="B10" s="275"/>
      <c r="C10" s="26" t="s">
        <v>0</v>
      </c>
      <c r="D10" s="34">
        <v>9212</v>
      </c>
      <c r="E10" s="34">
        <v>70</v>
      </c>
      <c r="F10" s="34">
        <f t="shared" si="0"/>
        <v>6448.4</v>
      </c>
      <c r="G10" s="188"/>
      <c r="H10" s="35">
        <v>300</v>
      </c>
      <c r="I10" s="36">
        <f>F10*H10/1000</f>
        <v>1934.52</v>
      </c>
      <c r="J10" s="188"/>
      <c r="K10" s="35">
        <v>6</v>
      </c>
      <c r="L10" s="37">
        <f t="shared" si="1"/>
        <v>386.90399999999994</v>
      </c>
      <c r="M10" s="188"/>
      <c r="N10" s="93">
        <v>0.8</v>
      </c>
      <c r="O10" s="99">
        <f t="shared" si="2"/>
        <v>5158.72</v>
      </c>
      <c r="P10" s="234"/>
      <c r="Q10" s="216"/>
      <c r="R10" s="216"/>
      <c r="S10" s="188"/>
      <c r="T10" s="229"/>
      <c r="U10" s="188"/>
    </row>
    <row r="11" spans="2:21" ht="45" customHeight="1" x14ac:dyDescent="0.25">
      <c r="B11" s="273" t="s">
        <v>94</v>
      </c>
      <c r="C11" s="81" t="s">
        <v>1</v>
      </c>
      <c r="D11" s="69">
        <v>10000</v>
      </c>
      <c r="E11" s="69">
        <v>50</v>
      </c>
      <c r="F11" s="29">
        <f>D11*E11/100</f>
        <v>5000</v>
      </c>
      <c r="G11" s="221">
        <f>(SUM(F11+F12+F13)/ (D11+D12))*100</f>
        <v>96.25</v>
      </c>
      <c r="H11" s="38">
        <v>300</v>
      </c>
      <c r="I11" s="33">
        <f>F11*H11/1000</f>
        <v>1500</v>
      </c>
      <c r="J11" s="186">
        <f>SUMPRODUCT(F11:F13,H11:H13)/SUM(F11:F13)</f>
        <v>95.441558441558442</v>
      </c>
      <c r="K11" s="38">
        <v>6</v>
      </c>
      <c r="L11" s="39">
        <f>F11*(K11/100)</f>
        <v>300</v>
      </c>
      <c r="M11" s="189">
        <f>SUMPRODUCT(F11:F13,K11:K13)/SUM(F11:F13)</f>
        <v>3.2857142857142856</v>
      </c>
      <c r="N11" s="82">
        <v>0.8</v>
      </c>
      <c r="O11" s="98">
        <f>F11*N11</f>
        <v>4000</v>
      </c>
      <c r="P11" s="191">
        <f>SUM(O11:O13)</f>
        <v>7087.5</v>
      </c>
      <c r="Q11" s="194">
        <v>0.3</v>
      </c>
      <c r="R11" s="197">
        <f>(P11*Q11)/100</f>
        <v>21.262499999999999</v>
      </c>
      <c r="S11" s="235">
        <f>(P11/SUM(F11:F13))*Q11</f>
        <v>0.11045454545454544</v>
      </c>
      <c r="T11" s="236">
        <v>0.12</v>
      </c>
      <c r="U11" s="183">
        <f>(D12+F12+F13)*T11+(F11*T7)</f>
        <v>4660</v>
      </c>
    </row>
    <row r="12" spans="2:21" ht="45" customHeight="1" x14ac:dyDescent="0.25">
      <c r="B12" s="280"/>
      <c r="C12" s="68" t="s">
        <v>71</v>
      </c>
      <c r="D12" s="69">
        <v>10000</v>
      </c>
      <c r="E12" s="69">
        <v>95</v>
      </c>
      <c r="F12" s="69">
        <f>D12*E12/100</f>
        <v>9500</v>
      </c>
      <c r="G12" s="218"/>
      <c r="H12" s="30">
        <v>33</v>
      </c>
      <c r="I12" s="70">
        <f>F12*H12/100</f>
        <v>3135</v>
      </c>
      <c r="J12" s="218"/>
      <c r="K12" s="30">
        <v>3</v>
      </c>
      <c r="L12" s="32">
        <f>F12*(K12/100)</f>
        <v>285</v>
      </c>
      <c r="M12" s="218"/>
      <c r="N12" s="96">
        <v>0.3</v>
      </c>
      <c r="O12" s="102">
        <f>F12*N12</f>
        <v>2850</v>
      </c>
      <c r="P12" s="233"/>
      <c r="Q12" s="215"/>
      <c r="R12" s="215"/>
      <c r="S12" s="218"/>
      <c r="T12" s="228"/>
      <c r="U12" s="218"/>
    </row>
    <row r="13" spans="2:21" ht="36" customHeight="1" thickBot="1" x14ac:dyDescent="0.3">
      <c r="B13" s="275"/>
      <c r="C13" s="26" t="s">
        <v>72</v>
      </c>
      <c r="D13" s="34">
        <v>5000</v>
      </c>
      <c r="E13" s="34">
        <v>95</v>
      </c>
      <c r="F13" s="34">
        <f>D13*E13/100</f>
        <v>4750</v>
      </c>
      <c r="G13" s="188"/>
      <c r="H13" s="35">
        <v>5</v>
      </c>
      <c r="I13" s="36">
        <f>F13*H13/100</f>
        <v>237.5</v>
      </c>
      <c r="J13" s="188"/>
      <c r="K13" s="35">
        <v>1</v>
      </c>
      <c r="L13" s="37">
        <f>F13*(K13/100)</f>
        <v>47.5</v>
      </c>
      <c r="M13" s="188"/>
      <c r="N13" s="93">
        <v>0.05</v>
      </c>
      <c r="O13" s="99">
        <f>F13*N13</f>
        <v>237.5</v>
      </c>
      <c r="P13" s="234"/>
      <c r="Q13" s="216"/>
      <c r="R13" s="216"/>
      <c r="S13" s="188"/>
      <c r="T13" s="229"/>
      <c r="U13" s="188"/>
    </row>
    <row r="14" spans="2:21" ht="36" customHeight="1" thickBot="1" x14ac:dyDescent="0.3">
      <c r="B14" s="103"/>
      <c r="C14" s="104"/>
      <c r="D14" s="105"/>
      <c r="E14" s="105"/>
      <c r="F14" s="105"/>
      <c r="G14" s="106"/>
      <c r="H14" s="73"/>
      <c r="I14" s="74"/>
      <c r="J14" s="14"/>
      <c r="K14" s="73"/>
      <c r="L14" s="75"/>
      <c r="M14" s="14"/>
      <c r="N14" s="73"/>
      <c r="O14" s="74"/>
      <c r="P14" s="14"/>
      <c r="Q14" s="14"/>
      <c r="R14" s="14"/>
      <c r="S14" s="14"/>
      <c r="T14" s="14"/>
      <c r="U14" s="14"/>
    </row>
    <row r="15" spans="2:21" ht="67.900000000000006" customHeight="1" thickBot="1" x14ac:dyDescent="0.3">
      <c r="B15" s="204" t="s">
        <v>30</v>
      </c>
      <c r="C15" s="205"/>
      <c r="D15" s="205"/>
      <c r="E15" s="205"/>
      <c r="F15" s="205"/>
      <c r="G15" s="86" t="s">
        <v>29</v>
      </c>
      <c r="H15"/>
      <c r="I15" s="279" t="s">
        <v>86</v>
      </c>
      <c r="J15" s="245"/>
      <c r="K15" s="245"/>
      <c r="L15" s="245"/>
      <c r="M15" s="245"/>
      <c r="N15" s="246"/>
      <c r="Q15"/>
      <c r="R15"/>
      <c r="S15"/>
      <c r="T15"/>
    </row>
    <row r="16" spans="2:21" ht="86.45" customHeight="1" thickBot="1" x14ac:dyDescent="0.3">
      <c r="B16" s="206" t="s">
        <v>31</v>
      </c>
      <c r="C16" s="207"/>
      <c r="D16" s="207"/>
      <c r="E16" s="207"/>
      <c r="F16" s="207"/>
      <c r="G16" s="141">
        <v>2</v>
      </c>
      <c r="I16" s="45" t="s">
        <v>5</v>
      </c>
      <c r="J16" s="6" t="s">
        <v>4</v>
      </c>
      <c r="K16" s="6" t="s">
        <v>76</v>
      </c>
      <c r="L16" s="6" t="s">
        <v>74</v>
      </c>
      <c r="M16" s="7" t="s">
        <v>3</v>
      </c>
      <c r="N16" s="76" t="s">
        <v>90</v>
      </c>
      <c r="Q16"/>
      <c r="R16"/>
      <c r="S16"/>
      <c r="T16"/>
    </row>
    <row r="17" spans="2:20" ht="58.9" customHeight="1" thickBot="1" x14ac:dyDescent="0.3">
      <c r="B17" s="208" t="s">
        <v>32</v>
      </c>
      <c r="C17" s="209"/>
      <c r="D17" s="209"/>
      <c r="E17" s="209"/>
      <c r="F17" s="209"/>
      <c r="G17" s="142">
        <v>16</v>
      </c>
      <c r="I17" s="8">
        <f>SUM(J17:M17)</f>
        <v>259200</v>
      </c>
      <c r="J17" s="47">
        <v>86400</v>
      </c>
      <c r="K17" s="47">
        <v>0</v>
      </c>
      <c r="L17" s="47">
        <v>0</v>
      </c>
      <c r="M17" s="47">
        <v>172800</v>
      </c>
      <c r="N17" s="5" t="s">
        <v>111</v>
      </c>
      <c r="Q17"/>
      <c r="R17"/>
      <c r="S17"/>
      <c r="T17"/>
    </row>
    <row r="18" spans="2:20" ht="45" customHeight="1" thickBot="1" x14ac:dyDescent="0.3">
      <c r="B18" s="208" t="s">
        <v>33</v>
      </c>
      <c r="C18" s="209"/>
      <c r="D18" s="209"/>
      <c r="E18" s="209"/>
      <c r="F18" s="209"/>
      <c r="G18" s="142">
        <f>G17</f>
        <v>16</v>
      </c>
      <c r="I18" s="8">
        <f>SUM(J18:M18)</f>
        <v>263674</v>
      </c>
      <c r="J18" s="47">
        <v>86400</v>
      </c>
      <c r="K18" s="47">
        <v>1350</v>
      </c>
      <c r="L18" s="47">
        <v>3124</v>
      </c>
      <c r="M18" s="47">
        <v>172800</v>
      </c>
      <c r="N18" s="5" t="s">
        <v>112</v>
      </c>
      <c r="Q18"/>
      <c r="R18"/>
      <c r="S18"/>
      <c r="T18"/>
    </row>
    <row r="19" spans="2:20" ht="51" customHeight="1" thickBot="1" x14ac:dyDescent="0.3">
      <c r="B19" s="208" t="s">
        <v>34</v>
      </c>
      <c r="C19" s="209"/>
      <c r="D19" s="209"/>
      <c r="E19" s="209"/>
      <c r="F19" s="209"/>
      <c r="G19" s="142">
        <v>5</v>
      </c>
      <c r="I19" s="8">
        <f>SUM(J19:M19)</f>
        <v>131382</v>
      </c>
      <c r="J19" s="47">
        <v>0</v>
      </c>
      <c r="K19" s="47">
        <v>220</v>
      </c>
      <c r="L19" s="47">
        <v>1562</v>
      </c>
      <c r="M19" s="47">
        <v>129600</v>
      </c>
      <c r="N19" s="5" t="s">
        <v>80</v>
      </c>
      <c r="Q19"/>
      <c r="R19"/>
      <c r="S19"/>
      <c r="T19"/>
    </row>
    <row r="20" spans="2:20" ht="49.15" customHeight="1" thickBot="1" x14ac:dyDescent="0.3">
      <c r="B20" s="269" t="s">
        <v>73</v>
      </c>
      <c r="C20" s="270"/>
      <c r="D20" s="270"/>
      <c r="E20" s="270"/>
      <c r="F20" s="270"/>
      <c r="G20" s="143">
        <v>1</v>
      </c>
      <c r="Q20"/>
      <c r="R20"/>
      <c r="S20"/>
      <c r="T20"/>
    </row>
    <row r="21" spans="2:20" ht="21" customHeight="1" thickBot="1" x14ac:dyDescent="0.3">
      <c r="I21"/>
      <c r="J21"/>
      <c r="Q21"/>
      <c r="R21"/>
      <c r="S21"/>
      <c r="T21"/>
    </row>
    <row r="22" spans="2:20" ht="39" customHeight="1" thickBot="1" x14ac:dyDescent="0.3">
      <c r="B22" s="247" t="s">
        <v>60</v>
      </c>
      <c r="C22" s="248"/>
      <c r="D22" s="248"/>
      <c r="E22" s="248"/>
      <c r="F22" s="249"/>
      <c r="G22" s="86" t="s">
        <v>36</v>
      </c>
      <c r="I22"/>
      <c r="J22"/>
      <c r="Q22"/>
      <c r="R22"/>
      <c r="S22"/>
      <c r="T22"/>
    </row>
    <row r="23" spans="2:20" ht="35.25" customHeight="1" x14ac:dyDescent="0.25">
      <c r="B23" s="256" t="s">
        <v>37</v>
      </c>
      <c r="C23" s="257"/>
      <c r="D23" s="257"/>
      <c r="E23" s="257"/>
      <c r="F23" s="258"/>
      <c r="G23" s="144">
        <f>(I7+I8+I9)*1000</f>
        <v>6759476.0000000009</v>
      </c>
      <c r="H23"/>
      <c r="I23"/>
      <c r="J23"/>
      <c r="Q23"/>
      <c r="R23"/>
      <c r="S23"/>
      <c r="T23"/>
    </row>
    <row r="24" spans="2:20" ht="38.25" customHeight="1" x14ac:dyDescent="0.25">
      <c r="B24" s="265" t="s">
        <v>38</v>
      </c>
      <c r="C24" s="254"/>
      <c r="D24" s="254"/>
      <c r="E24" s="254"/>
      <c r="F24" s="255"/>
      <c r="G24" s="145">
        <f>(L7+L8+L9)*365</f>
        <v>460805.2</v>
      </c>
      <c r="H24"/>
      <c r="I24"/>
      <c r="J24"/>
      <c r="K24"/>
      <c r="L24"/>
      <c r="M24"/>
      <c r="N24"/>
      <c r="O24"/>
      <c r="P24"/>
      <c r="Q24"/>
      <c r="R24"/>
      <c r="S24"/>
      <c r="T24"/>
    </row>
    <row r="25" spans="2:20" ht="39" customHeight="1" x14ac:dyDescent="0.25">
      <c r="B25" s="265" t="s">
        <v>39</v>
      </c>
      <c r="C25" s="254"/>
      <c r="D25" s="254"/>
      <c r="E25" s="254"/>
      <c r="F25" s="255"/>
      <c r="G25" s="145">
        <f>(R7)*365</f>
        <v>19141.169400000002</v>
      </c>
      <c r="H25"/>
      <c r="I25"/>
      <c r="J25"/>
      <c r="K25"/>
      <c r="L25"/>
      <c r="M25"/>
      <c r="N25"/>
      <c r="O25"/>
      <c r="P25"/>
      <c r="Q25"/>
      <c r="R25"/>
      <c r="S25"/>
      <c r="T25"/>
    </row>
    <row r="26" spans="2:20" ht="42" customHeight="1" x14ac:dyDescent="0.25">
      <c r="B26" s="253" t="s">
        <v>109</v>
      </c>
      <c r="C26" s="254"/>
      <c r="D26" s="254"/>
      <c r="E26" s="254"/>
      <c r="F26" s="255"/>
      <c r="G26" s="145" t="s">
        <v>108</v>
      </c>
      <c r="H26"/>
      <c r="I26"/>
      <c r="J26"/>
      <c r="K26"/>
      <c r="L26"/>
      <c r="M26"/>
      <c r="N26"/>
      <c r="O26"/>
      <c r="P26"/>
      <c r="Q26"/>
      <c r="R26"/>
      <c r="S26"/>
      <c r="T26"/>
    </row>
    <row r="27" spans="2:20" ht="38.25" customHeight="1" x14ac:dyDescent="0.25">
      <c r="B27" s="208" t="s">
        <v>40</v>
      </c>
      <c r="C27" s="209"/>
      <c r="D27" s="209"/>
      <c r="E27" s="209"/>
      <c r="F27" s="209"/>
      <c r="G27" s="145">
        <f>0.1*G23</f>
        <v>675947.60000000009</v>
      </c>
      <c r="H27"/>
      <c r="I27"/>
      <c r="J27"/>
      <c r="K27"/>
      <c r="L27"/>
      <c r="M27"/>
      <c r="N27"/>
      <c r="O27"/>
      <c r="P27"/>
      <c r="Q27"/>
      <c r="R27"/>
      <c r="S27"/>
      <c r="T27"/>
    </row>
    <row r="28" spans="2:20" ht="45.75" customHeight="1" x14ac:dyDescent="0.25">
      <c r="B28" s="265" t="s">
        <v>41</v>
      </c>
      <c r="C28" s="254"/>
      <c r="D28" s="254"/>
      <c r="E28" s="254"/>
      <c r="F28" s="255"/>
      <c r="G28" s="145">
        <f>U7*365</f>
        <v>2101283.1</v>
      </c>
      <c r="H28"/>
      <c r="I28"/>
      <c r="J28"/>
      <c r="K28"/>
      <c r="L28"/>
      <c r="M28"/>
      <c r="N28"/>
      <c r="O28"/>
      <c r="P28"/>
      <c r="Q28"/>
      <c r="R28"/>
      <c r="S28"/>
      <c r="T28"/>
    </row>
    <row r="29" spans="2:20" ht="38.25" customHeight="1" x14ac:dyDescent="0.25">
      <c r="B29" s="208" t="s">
        <v>42</v>
      </c>
      <c r="C29" s="209"/>
      <c r="D29" s="209"/>
      <c r="E29" s="209"/>
      <c r="F29" s="209"/>
      <c r="G29" s="145">
        <f>0.1*G23</f>
        <v>675947.60000000009</v>
      </c>
      <c r="H29"/>
      <c r="I29"/>
      <c r="J29"/>
      <c r="K29"/>
      <c r="L29"/>
      <c r="M29"/>
      <c r="N29"/>
      <c r="O29"/>
      <c r="P29"/>
      <c r="Q29"/>
      <c r="R29"/>
      <c r="S29"/>
      <c r="T29"/>
    </row>
    <row r="30" spans="2:20" ht="42.75" customHeight="1" x14ac:dyDescent="0.25">
      <c r="B30" s="266" t="s">
        <v>43</v>
      </c>
      <c r="C30" s="267"/>
      <c r="D30" s="267"/>
      <c r="E30" s="267"/>
      <c r="F30" s="268"/>
      <c r="G30" s="146">
        <f>Result!C5</f>
        <v>0.15</v>
      </c>
      <c r="H30"/>
      <c r="I30"/>
      <c r="J30"/>
      <c r="K30"/>
      <c r="L30"/>
      <c r="M30"/>
      <c r="N30"/>
      <c r="O30"/>
      <c r="P30"/>
      <c r="Q30"/>
      <c r="R30"/>
      <c r="S30"/>
      <c r="T30"/>
    </row>
    <row r="31" spans="2:20" ht="39.75" customHeight="1" x14ac:dyDescent="0.25">
      <c r="B31" s="266" t="s">
        <v>44</v>
      </c>
      <c r="C31" s="267"/>
      <c r="D31" s="267"/>
      <c r="E31" s="267"/>
      <c r="F31" s="268"/>
      <c r="G31" s="147">
        <v>0.25</v>
      </c>
      <c r="H31"/>
      <c r="I31"/>
      <c r="J31"/>
      <c r="K31"/>
      <c r="L31"/>
      <c r="M31"/>
      <c r="N31"/>
      <c r="O31"/>
      <c r="P31"/>
      <c r="Q31"/>
      <c r="R31"/>
      <c r="S31"/>
      <c r="T31"/>
    </row>
    <row r="32" spans="2:20" ht="42.75" customHeight="1" x14ac:dyDescent="0.25">
      <c r="B32" s="250" t="s">
        <v>45</v>
      </c>
      <c r="C32" s="251"/>
      <c r="D32" s="251"/>
      <c r="E32" s="251"/>
      <c r="F32" s="252"/>
      <c r="G32" s="147">
        <f>Result!D5</f>
        <v>0.18</v>
      </c>
      <c r="H32"/>
      <c r="I32"/>
      <c r="J32"/>
      <c r="K32"/>
      <c r="L32"/>
      <c r="M32"/>
      <c r="N32"/>
      <c r="O32"/>
      <c r="P32"/>
      <c r="Q32"/>
      <c r="R32"/>
      <c r="S32"/>
      <c r="T32"/>
    </row>
    <row r="33" spans="2:20" ht="43.5" customHeight="1" thickBot="1" x14ac:dyDescent="0.3">
      <c r="B33" s="271" t="s">
        <v>102</v>
      </c>
      <c r="C33" s="272"/>
      <c r="D33" s="272"/>
      <c r="E33" s="272"/>
      <c r="F33" s="272"/>
      <c r="G33" s="148">
        <f>Result!F5</f>
        <v>0.18</v>
      </c>
      <c r="H33"/>
      <c r="I33"/>
      <c r="J33"/>
      <c r="K33"/>
      <c r="L33"/>
      <c r="M33"/>
      <c r="N33"/>
      <c r="O33"/>
      <c r="P33"/>
      <c r="Q33"/>
      <c r="R33"/>
      <c r="S33"/>
      <c r="T33"/>
    </row>
    <row r="34" spans="2:20" ht="21" customHeight="1" thickBot="1" x14ac:dyDescent="0.3">
      <c r="H34"/>
      <c r="I34"/>
      <c r="J34"/>
      <c r="K34"/>
      <c r="L34"/>
      <c r="M34"/>
      <c r="N34"/>
      <c r="O34"/>
      <c r="P34"/>
      <c r="Q34"/>
      <c r="R34"/>
      <c r="S34"/>
      <c r="T34"/>
    </row>
    <row r="35" spans="2:20" s="2" customFormat="1" ht="100.5" thickBot="1" x14ac:dyDescent="0.3">
      <c r="B35" s="50" t="s">
        <v>105</v>
      </c>
      <c r="C35" s="51" t="s">
        <v>46</v>
      </c>
      <c r="D35" s="51" t="s">
        <v>47</v>
      </c>
      <c r="E35" s="51" t="s">
        <v>48</v>
      </c>
      <c r="F35" s="63" t="s">
        <v>49</v>
      </c>
      <c r="G35" s="51" t="s">
        <v>50</v>
      </c>
      <c r="H35" s="51" t="s">
        <v>51</v>
      </c>
      <c r="I35" s="51" t="s">
        <v>100</v>
      </c>
      <c r="J35" s="51" t="s">
        <v>52</v>
      </c>
      <c r="K35" s="51" t="s">
        <v>53</v>
      </c>
      <c r="L35" s="52" t="s">
        <v>54</v>
      </c>
      <c r="M35" s="52" t="s">
        <v>55</v>
      </c>
      <c r="N35" s="53" t="s">
        <v>61</v>
      </c>
    </row>
    <row r="36" spans="2:20" ht="15" customHeight="1" thickTop="1" x14ac:dyDescent="0.25">
      <c r="B36" s="149">
        <v>0</v>
      </c>
      <c r="C36" s="150">
        <f>G23</f>
        <v>6759476.0000000009</v>
      </c>
      <c r="D36" s="150"/>
      <c r="E36" s="150"/>
      <c r="F36" s="150"/>
      <c r="G36" s="151"/>
      <c r="H36" s="150"/>
      <c r="I36" s="150"/>
      <c r="J36" s="150"/>
      <c r="K36" s="150"/>
      <c r="L36" s="152">
        <f t="shared" ref="L36:L52" si="4">I36-SUM(C36:H36,K36)</f>
        <v>-6759476.0000000009</v>
      </c>
      <c r="M36" s="153">
        <f>SUM($L$36:L36)</f>
        <v>-6759476.0000000009</v>
      </c>
      <c r="N36" s="154">
        <f>PV(G30,B36,0,M36)</f>
        <v>6759476.0000000009</v>
      </c>
      <c r="O36"/>
      <c r="P36"/>
      <c r="Q36"/>
      <c r="R36"/>
      <c r="S36"/>
      <c r="T36"/>
    </row>
    <row r="37" spans="2:20" ht="15" customHeight="1" x14ac:dyDescent="0.25">
      <c r="B37" s="155">
        <v>1</v>
      </c>
      <c r="C37" s="156"/>
      <c r="D37" s="156">
        <f t="shared" ref="D37:D52" si="5">$G$24*(1+$G$32)^(B37-1)</f>
        <v>460805.2</v>
      </c>
      <c r="E37" s="156">
        <f t="shared" ref="E37:E52" si="6">$G$25*(1+$G$32)^(B37-1)</f>
        <v>19141.169400000002</v>
      </c>
      <c r="F37" s="156"/>
      <c r="G37" s="157"/>
      <c r="H37" s="156">
        <f>(C36)/16</f>
        <v>422467.25000000006</v>
      </c>
      <c r="I37" s="156">
        <f t="shared" ref="I37:I51" si="7">$G$28*(1+$G$33)^(B37-1)</f>
        <v>2101283.1</v>
      </c>
      <c r="J37" s="156"/>
      <c r="K37" s="156">
        <f t="shared" ref="K37:K52" si="8">IF(I37&gt;0,I37*$G$31,0)</f>
        <v>525320.77500000002</v>
      </c>
      <c r="L37" s="156">
        <f t="shared" si="4"/>
        <v>673548.70559999999</v>
      </c>
      <c r="M37" s="158">
        <f>SUM($L$36:L37)</f>
        <v>-6085927.2944000009</v>
      </c>
      <c r="N37" s="159">
        <f t="shared" ref="N37:N52" si="9">PV($G$30,B37,0,-L37)</f>
        <v>585694.52660869574</v>
      </c>
      <c r="O37"/>
      <c r="P37"/>
      <c r="Q37"/>
      <c r="R37"/>
      <c r="S37"/>
      <c r="T37"/>
    </row>
    <row r="38" spans="2:20" ht="15" customHeight="1" x14ac:dyDescent="0.25">
      <c r="B38" s="155">
        <v>2</v>
      </c>
      <c r="C38" s="156"/>
      <c r="D38" s="156">
        <f t="shared" si="5"/>
        <v>543750.13599999994</v>
      </c>
      <c r="E38" s="156">
        <f t="shared" si="6"/>
        <v>22586.579892000002</v>
      </c>
      <c r="F38" s="156"/>
      <c r="G38" s="157"/>
      <c r="H38" s="156">
        <f>H37</f>
        <v>422467.25000000006</v>
      </c>
      <c r="I38" s="156">
        <f t="shared" si="7"/>
        <v>2479514.0580000002</v>
      </c>
      <c r="J38" s="156"/>
      <c r="K38" s="156">
        <f t="shared" si="8"/>
        <v>619878.51450000005</v>
      </c>
      <c r="L38" s="156">
        <f t="shared" si="4"/>
        <v>870831.57760800025</v>
      </c>
      <c r="M38" s="158">
        <f>SUM($L$36:L38)</f>
        <v>-5215095.7167920005</v>
      </c>
      <c r="N38" s="159">
        <f t="shared" si="9"/>
        <v>658473.78269035951</v>
      </c>
      <c r="O38"/>
      <c r="P38"/>
      <c r="Q38"/>
      <c r="R38"/>
      <c r="S38"/>
      <c r="T38"/>
    </row>
    <row r="39" spans="2:20" ht="15" customHeight="1" x14ac:dyDescent="0.25">
      <c r="B39" s="155">
        <v>3</v>
      </c>
      <c r="C39" s="156"/>
      <c r="D39" s="156">
        <f t="shared" si="5"/>
        <v>641625.16047999996</v>
      </c>
      <c r="E39" s="156">
        <f t="shared" si="6"/>
        <v>26652.16427256</v>
      </c>
      <c r="F39" s="156"/>
      <c r="G39" s="157"/>
      <c r="H39" s="156">
        <f t="shared" ref="H39:H52" si="10">H38</f>
        <v>422467.25000000006</v>
      </c>
      <c r="I39" s="156">
        <f t="shared" si="7"/>
        <v>2925826.5884399996</v>
      </c>
      <c r="J39" s="156"/>
      <c r="K39" s="156">
        <f t="shared" si="8"/>
        <v>731456.6471099999</v>
      </c>
      <c r="L39" s="156">
        <f t="shared" si="4"/>
        <v>1103625.3665774395</v>
      </c>
      <c r="M39" s="158">
        <f>SUM($L$36:L39)</f>
        <v>-4111470.350214561</v>
      </c>
      <c r="N39" s="159">
        <f t="shared" si="9"/>
        <v>725651.59304837009</v>
      </c>
      <c r="O39"/>
      <c r="P39"/>
      <c r="Q39"/>
      <c r="R39"/>
      <c r="S39"/>
      <c r="T39"/>
    </row>
    <row r="40" spans="2:20" ht="15" customHeight="1" x14ac:dyDescent="0.25">
      <c r="B40" s="155">
        <v>4</v>
      </c>
      <c r="C40" s="156"/>
      <c r="D40" s="156">
        <f t="shared" si="5"/>
        <v>757117.68936639989</v>
      </c>
      <c r="E40" s="156">
        <f t="shared" si="6"/>
        <v>31449.5538416208</v>
      </c>
      <c r="F40" s="156"/>
      <c r="G40" s="157"/>
      <c r="H40" s="156">
        <f t="shared" si="10"/>
        <v>422467.25000000006</v>
      </c>
      <c r="I40" s="156">
        <f t="shared" si="7"/>
        <v>3452475.3743591998</v>
      </c>
      <c r="J40" s="156"/>
      <c r="K40" s="156">
        <f t="shared" si="8"/>
        <v>863118.84358979994</v>
      </c>
      <c r="L40" s="156">
        <f t="shared" si="4"/>
        <v>1378322.0375613791</v>
      </c>
      <c r="M40" s="158">
        <f>SUM($L$36:L40)</f>
        <v>-2733148.3126531821</v>
      </c>
      <c r="N40" s="159">
        <f t="shared" si="9"/>
        <v>788060.09844812134</v>
      </c>
      <c r="O40"/>
      <c r="P40"/>
      <c r="Q40"/>
      <c r="R40"/>
      <c r="S40"/>
      <c r="T40"/>
    </row>
    <row r="41" spans="2:20" ht="15" customHeight="1" x14ac:dyDescent="0.25">
      <c r="B41" s="155">
        <v>5</v>
      </c>
      <c r="C41" s="156"/>
      <c r="D41" s="156">
        <f t="shared" si="5"/>
        <v>893398.87345235178</v>
      </c>
      <c r="E41" s="156">
        <f t="shared" si="6"/>
        <v>37110.473533112541</v>
      </c>
      <c r="F41" s="156"/>
      <c r="G41" s="157"/>
      <c r="H41" s="156">
        <f t="shared" si="10"/>
        <v>422467.25000000006</v>
      </c>
      <c r="I41" s="156">
        <f t="shared" si="7"/>
        <v>4073920.9417438554</v>
      </c>
      <c r="J41" s="156"/>
      <c r="K41" s="156">
        <f t="shared" si="8"/>
        <v>1018480.2354359638</v>
      </c>
      <c r="L41" s="156">
        <f t="shared" si="4"/>
        <v>1702464.1093224268</v>
      </c>
      <c r="M41" s="158">
        <f>SUM($L$36:L41)</f>
        <v>-1030684.2033307552</v>
      </c>
      <c r="N41" s="159">
        <f t="shared" si="9"/>
        <v>846425.54783543502</v>
      </c>
      <c r="O41"/>
      <c r="P41"/>
      <c r="Q41"/>
      <c r="R41"/>
      <c r="S41"/>
      <c r="T41"/>
    </row>
    <row r="42" spans="2:20" ht="15" customHeight="1" x14ac:dyDescent="0.25">
      <c r="B42" s="155">
        <v>6</v>
      </c>
      <c r="C42" s="156"/>
      <c r="D42" s="156">
        <f t="shared" si="5"/>
        <v>1054210.670673775</v>
      </c>
      <c r="E42" s="156">
        <f t="shared" si="6"/>
        <v>43790.358769072795</v>
      </c>
      <c r="F42" s="156">
        <f>M19*(1+G32)^(B42-1)</f>
        <v>296493.40528127988</v>
      </c>
      <c r="G42" s="156">
        <f>G27*(1+G32)^(B42-1)</f>
        <v>1546404.3650903434</v>
      </c>
      <c r="H42" s="156">
        <f t="shared" si="10"/>
        <v>422467.25000000006</v>
      </c>
      <c r="I42" s="156">
        <f t="shared" si="7"/>
        <v>4807226.7112577483</v>
      </c>
      <c r="J42" s="156"/>
      <c r="K42" s="156">
        <f t="shared" si="8"/>
        <v>1201806.6778144371</v>
      </c>
      <c r="L42" s="156">
        <f t="shared" si="4"/>
        <v>242053.98362884019</v>
      </c>
      <c r="M42" s="158">
        <f>SUM($L$36:L42)</f>
        <v>-788630.21970191505</v>
      </c>
      <c r="N42" s="159">
        <f t="shared" si="9"/>
        <v>104646.61682307172</v>
      </c>
      <c r="O42"/>
      <c r="P42"/>
      <c r="Q42"/>
      <c r="R42"/>
      <c r="S42"/>
      <c r="T42"/>
    </row>
    <row r="43" spans="2:20" ht="15" customHeight="1" x14ac:dyDescent="0.25">
      <c r="B43" s="155">
        <v>7</v>
      </c>
      <c r="C43" s="156"/>
      <c r="D43" s="156">
        <f t="shared" si="5"/>
        <v>1243968.5913950547</v>
      </c>
      <c r="E43" s="156">
        <f t="shared" si="6"/>
        <v>51672.623347505898</v>
      </c>
      <c r="F43" s="156"/>
      <c r="G43" s="157"/>
      <c r="H43" s="156">
        <f>H42+(G42/10)</f>
        <v>577107.68650903436</v>
      </c>
      <c r="I43" s="156">
        <f t="shared" si="7"/>
        <v>5672527.519284144</v>
      </c>
      <c r="J43" s="156"/>
      <c r="K43" s="156">
        <f t="shared" si="8"/>
        <v>1418131.879821036</v>
      </c>
      <c r="L43" s="156">
        <f t="shared" si="4"/>
        <v>2381646.738211513</v>
      </c>
      <c r="M43" s="158">
        <f>SUM($L$36:L43)</f>
        <v>1593016.518509598</v>
      </c>
      <c r="N43" s="159">
        <f t="shared" si="9"/>
        <v>895349.22490572499</v>
      </c>
      <c r="O43"/>
      <c r="P43"/>
      <c r="Q43"/>
      <c r="R43"/>
      <c r="S43"/>
      <c r="T43"/>
    </row>
    <row r="44" spans="2:20" ht="15" customHeight="1" x14ac:dyDescent="0.25">
      <c r="B44" s="155">
        <v>8</v>
      </c>
      <c r="C44" s="156"/>
      <c r="D44" s="156">
        <f t="shared" si="5"/>
        <v>1467882.9378461645</v>
      </c>
      <c r="E44" s="156">
        <f t="shared" si="6"/>
        <v>60973.69555005696</v>
      </c>
      <c r="F44" s="156"/>
      <c r="G44" s="157"/>
      <c r="H44" s="156">
        <f t="shared" si="10"/>
        <v>577107.68650903436</v>
      </c>
      <c r="I44" s="156">
        <f t="shared" si="7"/>
        <v>6693582.4727552896</v>
      </c>
      <c r="J44" s="156"/>
      <c r="K44" s="156">
        <f t="shared" si="8"/>
        <v>1673395.6181888224</v>
      </c>
      <c r="L44" s="156">
        <f t="shared" si="4"/>
        <v>2914222.5346612111</v>
      </c>
      <c r="M44" s="158">
        <f>SUM($L$36:L44)</f>
        <v>4507239.0531708095</v>
      </c>
      <c r="N44" s="159">
        <f t="shared" si="9"/>
        <v>952664.51596322446</v>
      </c>
      <c r="O44"/>
      <c r="P44"/>
      <c r="Q44"/>
      <c r="R44"/>
      <c r="S44"/>
      <c r="T44"/>
    </row>
    <row r="45" spans="2:20" ht="15" customHeight="1" x14ac:dyDescent="0.25">
      <c r="B45" s="155">
        <v>9</v>
      </c>
      <c r="C45" s="156"/>
      <c r="D45" s="156">
        <f t="shared" si="5"/>
        <v>1732101.8666584739</v>
      </c>
      <c r="E45" s="156">
        <f t="shared" si="6"/>
        <v>71948.960749067206</v>
      </c>
      <c r="F45" s="156">
        <f>(L18+K18)*(1+G32)^(B45-1)</f>
        <v>16817.136072748337</v>
      </c>
      <c r="G45" s="157"/>
      <c r="H45" s="156">
        <f t="shared" si="10"/>
        <v>577107.68650903436</v>
      </c>
      <c r="I45" s="156">
        <f t="shared" si="7"/>
        <v>7898427.3178512407</v>
      </c>
      <c r="J45" s="156"/>
      <c r="K45" s="156">
        <f t="shared" si="8"/>
        <v>1974606.8294628102</v>
      </c>
      <c r="L45" s="156">
        <f t="shared" si="4"/>
        <v>3525844.8383991066</v>
      </c>
      <c r="M45" s="158">
        <f>SUM($L$36:L45)</f>
        <v>8033083.8915699162</v>
      </c>
      <c r="N45" s="159">
        <f t="shared" si="9"/>
        <v>1002265.1582426279</v>
      </c>
      <c r="O45"/>
      <c r="P45"/>
      <c r="Q45"/>
      <c r="R45"/>
      <c r="S45"/>
      <c r="T45"/>
    </row>
    <row r="46" spans="2:20" ht="15" customHeight="1" x14ac:dyDescent="0.25">
      <c r="B46" s="155">
        <v>10</v>
      </c>
      <c r="C46" s="156"/>
      <c r="D46" s="156">
        <f t="shared" si="5"/>
        <v>2043880.202656999</v>
      </c>
      <c r="E46" s="156">
        <f t="shared" si="6"/>
        <v>84899.773683899301</v>
      </c>
      <c r="F46" s="156"/>
      <c r="G46" s="157"/>
      <c r="H46" s="156">
        <f t="shared" si="10"/>
        <v>577107.68650903436</v>
      </c>
      <c r="I46" s="156">
        <f t="shared" si="7"/>
        <v>9320144.2350644637</v>
      </c>
      <c r="J46" s="156"/>
      <c r="K46" s="156">
        <f t="shared" si="8"/>
        <v>2330036.0587661159</v>
      </c>
      <c r="L46" s="156">
        <f t="shared" si="4"/>
        <v>4284220.5134484153</v>
      </c>
      <c r="M46" s="158">
        <f>SUM($L$36:L46)</f>
        <v>12317304.405018331</v>
      </c>
      <c r="N46" s="159">
        <f t="shared" si="9"/>
        <v>1058993.7885780158</v>
      </c>
      <c r="O46"/>
      <c r="P46"/>
      <c r="Q46"/>
      <c r="R46"/>
      <c r="S46"/>
      <c r="T46"/>
    </row>
    <row r="47" spans="2:20" ht="15" customHeight="1" x14ac:dyDescent="0.25">
      <c r="B47" s="155">
        <v>11</v>
      </c>
      <c r="C47" s="156"/>
      <c r="D47" s="156">
        <f t="shared" si="5"/>
        <v>2411778.6391352587</v>
      </c>
      <c r="E47" s="156">
        <f t="shared" si="6"/>
        <v>100181.73294700116</v>
      </c>
      <c r="F47" s="156"/>
      <c r="G47" s="157"/>
      <c r="H47" s="156">
        <f t="shared" si="10"/>
        <v>577107.68650903436</v>
      </c>
      <c r="I47" s="156">
        <f t="shared" si="7"/>
        <v>10997770.197376067</v>
      </c>
      <c r="J47" s="156"/>
      <c r="K47" s="156">
        <f t="shared" si="8"/>
        <v>2749442.5493440167</v>
      </c>
      <c r="L47" s="156">
        <f t="shared" si="4"/>
        <v>5159259.5894407555</v>
      </c>
      <c r="M47" s="158">
        <f>SUM($L$36:L47)</f>
        <v>17476563.994459085</v>
      </c>
      <c r="N47" s="159">
        <f t="shared" si="9"/>
        <v>1108947.8829759406</v>
      </c>
      <c r="O47"/>
      <c r="P47"/>
      <c r="Q47"/>
      <c r="R47"/>
      <c r="S47"/>
      <c r="T47"/>
    </row>
    <row r="48" spans="2:20" ht="15" customHeight="1" x14ac:dyDescent="0.25">
      <c r="B48" s="155">
        <v>12</v>
      </c>
      <c r="C48" s="156"/>
      <c r="D48" s="156">
        <f t="shared" si="5"/>
        <v>2845898.7941796053</v>
      </c>
      <c r="E48" s="156">
        <f t="shared" si="6"/>
        <v>118214.44487746137</v>
      </c>
      <c r="F48" s="156">
        <f>M19*(1+G32)^(B48-1)</f>
        <v>800400.00357130694</v>
      </c>
      <c r="G48" s="157"/>
      <c r="H48" s="156">
        <f t="shared" si="10"/>
        <v>577107.68650903436</v>
      </c>
      <c r="I48" s="156">
        <f t="shared" si="7"/>
        <v>12977368.832903758</v>
      </c>
      <c r="J48" s="156"/>
      <c r="K48" s="156">
        <f t="shared" si="8"/>
        <v>3244342.2082259394</v>
      </c>
      <c r="L48" s="156">
        <f t="shared" si="4"/>
        <v>5391405.6955404105</v>
      </c>
      <c r="M48" s="158">
        <f>SUM($L$36:L48)</f>
        <v>22867969.689999495</v>
      </c>
      <c r="N48" s="159">
        <f t="shared" si="9"/>
        <v>1007692.2740536185</v>
      </c>
      <c r="O48"/>
      <c r="P48"/>
      <c r="Q48"/>
      <c r="R48"/>
      <c r="S48"/>
      <c r="T48"/>
    </row>
    <row r="49" spans="2:21" ht="15" customHeight="1" x14ac:dyDescent="0.25">
      <c r="B49" s="155">
        <v>13</v>
      </c>
      <c r="C49" s="156"/>
      <c r="D49" s="156">
        <f t="shared" si="5"/>
        <v>3358160.5771319335</v>
      </c>
      <c r="E49" s="156">
        <f t="shared" si="6"/>
        <v>139493.04495540439</v>
      </c>
      <c r="F49" s="156"/>
      <c r="G49" s="157"/>
      <c r="H49" s="156">
        <f t="shared" si="10"/>
        <v>577107.68650903436</v>
      </c>
      <c r="I49" s="156">
        <f t="shared" si="7"/>
        <v>15313295.222826432</v>
      </c>
      <c r="J49" s="156"/>
      <c r="K49" s="156">
        <f t="shared" si="8"/>
        <v>3828323.8057066081</v>
      </c>
      <c r="L49" s="156">
        <f t="shared" si="4"/>
        <v>7410210.1085234517</v>
      </c>
      <c r="M49" s="158">
        <f>SUM($L$36:L49)</f>
        <v>30278179.798522945</v>
      </c>
      <c r="N49" s="159">
        <f t="shared" si="9"/>
        <v>1204366.3075378644</v>
      </c>
      <c r="O49"/>
      <c r="P49"/>
      <c r="Q49"/>
      <c r="R49"/>
      <c r="S49"/>
      <c r="T49"/>
    </row>
    <row r="50" spans="2:21" ht="15" customHeight="1" x14ac:dyDescent="0.25">
      <c r="B50" s="155">
        <v>14</v>
      </c>
      <c r="C50" s="156"/>
      <c r="D50" s="156">
        <f t="shared" si="5"/>
        <v>3962629.4810156813</v>
      </c>
      <c r="E50" s="156">
        <f t="shared" si="6"/>
        <v>164601.79304737717</v>
      </c>
      <c r="F50" s="156"/>
      <c r="G50" s="157"/>
      <c r="H50" s="156">
        <f t="shared" si="10"/>
        <v>577107.68650903436</v>
      </c>
      <c r="I50" s="156">
        <f t="shared" si="7"/>
        <v>18069688.362935189</v>
      </c>
      <c r="J50" s="156"/>
      <c r="K50" s="156">
        <f t="shared" si="8"/>
        <v>4517422.0907337973</v>
      </c>
      <c r="L50" s="156">
        <f t="shared" si="4"/>
        <v>8847927.3116292991</v>
      </c>
      <c r="M50" s="158">
        <f>SUM($L$36:L50)</f>
        <v>39126107.110152245</v>
      </c>
      <c r="N50" s="159">
        <f t="shared" si="9"/>
        <v>1250465.6929114573</v>
      </c>
      <c r="O50"/>
      <c r="P50"/>
      <c r="Q50"/>
      <c r="R50"/>
      <c r="S50"/>
      <c r="T50"/>
    </row>
    <row r="51" spans="2:21" ht="15" customHeight="1" x14ac:dyDescent="0.25">
      <c r="B51" s="155">
        <v>15</v>
      </c>
      <c r="C51" s="156"/>
      <c r="D51" s="156">
        <f t="shared" si="5"/>
        <v>4675902.7875985038</v>
      </c>
      <c r="E51" s="156">
        <f t="shared" si="6"/>
        <v>194230.11579590509</v>
      </c>
      <c r="F51" s="156"/>
      <c r="G51" s="157"/>
      <c r="H51" s="156">
        <f t="shared" si="10"/>
        <v>577107.68650903436</v>
      </c>
      <c r="I51" s="156">
        <f t="shared" si="7"/>
        <v>21322232.268263523</v>
      </c>
      <c r="J51" s="156"/>
      <c r="K51" s="156">
        <f t="shared" si="8"/>
        <v>5330558.0670658806</v>
      </c>
      <c r="L51" s="156">
        <f t="shared" si="4"/>
        <v>10544433.611294199</v>
      </c>
      <c r="M51" s="158">
        <f>SUM($L$36:L51)</f>
        <v>49670540.72144644</v>
      </c>
      <c r="N51" s="159">
        <f t="shared" si="9"/>
        <v>1295852.7404418478</v>
      </c>
      <c r="O51"/>
      <c r="P51"/>
      <c r="Q51"/>
      <c r="R51"/>
      <c r="S51"/>
      <c r="T51"/>
    </row>
    <row r="52" spans="2:21" ht="15" customHeight="1" thickBot="1" x14ac:dyDescent="0.3">
      <c r="B52" s="160">
        <v>16</v>
      </c>
      <c r="C52" s="161"/>
      <c r="D52" s="161">
        <f t="shared" si="5"/>
        <v>5517565.289366235</v>
      </c>
      <c r="E52" s="161">
        <f t="shared" si="6"/>
        <v>229191.53663916799</v>
      </c>
      <c r="F52" s="161"/>
      <c r="G52" s="162"/>
      <c r="H52" s="161">
        <f t="shared" si="10"/>
        <v>577107.68650903436</v>
      </c>
      <c r="I52" s="161">
        <f>($G$28*(1+$G$33)^(B52-1))+J52</f>
        <v>33253860.223110098</v>
      </c>
      <c r="J52" s="161">
        <f>G29*(1+G32)^(B52-1)</f>
        <v>8093626.1465591369</v>
      </c>
      <c r="K52" s="161">
        <f t="shared" si="8"/>
        <v>8313465.0557775246</v>
      </c>
      <c r="L52" s="161">
        <f t="shared" si="4"/>
        <v>18616530.654818136</v>
      </c>
      <c r="M52" s="163">
        <f>SUM($L$36:L52)</f>
        <v>68287071.376264572</v>
      </c>
      <c r="N52" s="164">
        <f t="shared" si="9"/>
        <v>1989451.2618549925</v>
      </c>
      <c r="O52"/>
      <c r="P52"/>
      <c r="Q52"/>
      <c r="R52"/>
      <c r="S52"/>
      <c r="T52"/>
    </row>
    <row r="53" spans="2:21" ht="15.75" thickBot="1" x14ac:dyDescent="0.3"/>
    <row r="54" spans="2:21" s="1" customFormat="1" ht="80.45" customHeight="1" thickBot="1" x14ac:dyDescent="0.3">
      <c r="B54" s="276" t="s">
        <v>67</v>
      </c>
      <c r="C54" s="277"/>
      <c r="D54" s="277"/>
      <c r="E54" s="277"/>
      <c r="F54" s="277"/>
      <c r="G54" s="277"/>
      <c r="H54" s="278"/>
      <c r="I54" s="21" t="s">
        <v>2</v>
      </c>
      <c r="J54" s="17">
        <f>NPV(G30,L36:L52)</f>
        <v>7578717.402538578</v>
      </c>
      <c r="K54"/>
      <c r="U54"/>
    </row>
    <row r="55" spans="2:21" ht="78" customHeight="1" thickBot="1" x14ac:dyDescent="0.3">
      <c r="B55" s="276" t="s">
        <v>58</v>
      </c>
      <c r="C55" s="277"/>
      <c r="D55" s="277"/>
      <c r="E55" s="277"/>
      <c r="F55" s="277"/>
      <c r="G55" s="277"/>
      <c r="H55" s="278"/>
      <c r="I55" s="16" t="s">
        <v>6</v>
      </c>
      <c r="J55" s="18">
        <f>IFERROR(IRR(L36:L52),"به دلیل NPV منفی قابل محاسبه نیست.")</f>
        <v>0.26149029287389536</v>
      </c>
      <c r="K55"/>
    </row>
    <row r="56" spans="2:21" ht="75" customHeight="1" thickBot="1" x14ac:dyDescent="0.3">
      <c r="B56" s="276" t="s">
        <v>68</v>
      </c>
      <c r="C56" s="277"/>
      <c r="D56" s="277"/>
      <c r="E56" s="277"/>
      <c r="F56" s="277"/>
      <c r="G56" s="277"/>
      <c r="H56" s="278"/>
      <c r="I56" s="61" t="s">
        <v>59</v>
      </c>
      <c r="J56" s="19">
        <f>COUNTIF(M36:M52,"&lt;0")</f>
        <v>7</v>
      </c>
    </row>
    <row r="57" spans="2:21" x14ac:dyDescent="0.25">
      <c r="I57" s="14"/>
      <c r="J57" s="13"/>
    </row>
  </sheetData>
  <mergeCells count="59">
    <mergeCell ref="B2:U2"/>
    <mergeCell ref="J5:J6"/>
    <mergeCell ref="M5:M6"/>
    <mergeCell ref="Q5:Q6"/>
    <mergeCell ref="T3:U3"/>
    <mergeCell ref="B3:B4"/>
    <mergeCell ref="C3:G3"/>
    <mergeCell ref="H3:J3"/>
    <mergeCell ref="K3:M3"/>
    <mergeCell ref="N3:S3"/>
    <mergeCell ref="R5:R6"/>
    <mergeCell ref="S5:S6"/>
    <mergeCell ref="T5:T6"/>
    <mergeCell ref="U5:U6"/>
    <mergeCell ref="B5:B6"/>
    <mergeCell ref="G5:G6"/>
    <mergeCell ref="P5:P6"/>
    <mergeCell ref="T11:T13"/>
    <mergeCell ref="U11:U13"/>
    <mergeCell ref="B32:F32"/>
    <mergeCell ref="B23:F23"/>
    <mergeCell ref="B24:F24"/>
    <mergeCell ref="B26:F26"/>
    <mergeCell ref="B28:F28"/>
    <mergeCell ref="B30:F30"/>
    <mergeCell ref="B31:F31"/>
    <mergeCell ref="B25:F25"/>
    <mergeCell ref="B15:F15"/>
    <mergeCell ref="I15:N15"/>
    <mergeCell ref="B11:B13"/>
    <mergeCell ref="G11:G13"/>
    <mergeCell ref="J11:J13"/>
    <mergeCell ref="S11:S13"/>
    <mergeCell ref="B54:H54"/>
    <mergeCell ref="B55:H55"/>
    <mergeCell ref="B56:H56"/>
    <mergeCell ref="Q11:Q13"/>
    <mergeCell ref="R11:R13"/>
    <mergeCell ref="M11:M13"/>
    <mergeCell ref="P11:P13"/>
    <mergeCell ref="B29:F29"/>
    <mergeCell ref="B27:F27"/>
    <mergeCell ref="B22:F22"/>
    <mergeCell ref="B16:F16"/>
    <mergeCell ref="B17:F17"/>
    <mergeCell ref="B18:F18"/>
    <mergeCell ref="B19:F19"/>
    <mergeCell ref="B20:F20"/>
    <mergeCell ref="B33:F33"/>
    <mergeCell ref="B7:B10"/>
    <mergeCell ref="G7:G10"/>
    <mergeCell ref="J7:J10"/>
    <mergeCell ref="M7:M10"/>
    <mergeCell ref="U7:U10"/>
    <mergeCell ref="P7:P10"/>
    <mergeCell ref="Q7:Q10"/>
    <mergeCell ref="R7:R10"/>
    <mergeCell ref="S7:S10"/>
    <mergeCell ref="T7:T10"/>
  </mergeCells>
  <conditionalFormatting sqref="B39:B52 G23:G27 H36:H38 I36:I52 B36:D38 F36:F38">
    <cfRule type="expression" dxfId="25" priority="17">
      <formula>#REF!&gt;#REF!</formula>
    </cfRule>
  </conditionalFormatting>
  <conditionalFormatting sqref="H39:H48 C39:D48 F39:F48">
    <cfRule type="expression" dxfId="24" priority="38">
      <formula>#REF!&gt;#REF!</formula>
    </cfRule>
  </conditionalFormatting>
  <conditionalFormatting sqref="G28:G29">
    <cfRule type="expression" dxfId="23" priority="39">
      <formula>#REF!&gt;#REF!</formula>
    </cfRule>
  </conditionalFormatting>
  <conditionalFormatting sqref="M36:M52 H49:H52 C49:D52 F49:F52">
    <cfRule type="expression" dxfId="22" priority="40">
      <formula>#REF!&gt;#REF!</formula>
    </cfRule>
  </conditionalFormatting>
  <conditionalFormatting sqref="K36:K52">
    <cfRule type="expression" dxfId="21" priority="10">
      <formula>#REF!&gt;#REF!</formula>
    </cfRule>
  </conditionalFormatting>
  <conditionalFormatting sqref="L37:L52">
    <cfRule type="expression" dxfId="20" priority="9">
      <formula>#REF!&gt;#REF!</formula>
    </cfRule>
  </conditionalFormatting>
  <conditionalFormatting sqref="L36">
    <cfRule type="expression" dxfId="19" priority="8">
      <formula>#REF!&gt;#REF!</formula>
    </cfRule>
  </conditionalFormatting>
  <conditionalFormatting sqref="J36:J52">
    <cfRule type="expression" dxfId="18" priority="7">
      <formula>#REF!&gt;#REF!</formula>
    </cfRule>
  </conditionalFormatting>
  <conditionalFormatting sqref="E36">
    <cfRule type="expression" dxfId="17" priority="4">
      <formula>#REF!&gt;#REF!</formula>
    </cfRule>
  </conditionalFormatting>
  <conditionalFormatting sqref="E37:E38">
    <cfRule type="expression" dxfId="16" priority="1">
      <formula>#REF!&gt;#REF!</formula>
    </cfRule>
  </conditionalFormatting>
  <conditionalFormatting sqref="E39:E48">
    <cfRule type="expression" dxfId="15" priority="2">
      <formula>#REF!&gt;#REF!</formula>
    </cfRule>
  </conditionalFormatting>
  <conditionalFormatting sqref="E49:E52">
    <cfRule type="expression" dxfId="14" priority="3">
      <formula>#REF!&gt;#REF!</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topLeftCell="B33" zoomScale="85" zoomScaleNormal="85" workbookViewId="0">
      <selection activeCell="B2" sqref="B2:U2"/>
    </sheetView>
  </sheetViews>
  <sheetFormatPr defaultRowHeight="15" x14ac:dyDescent="0.25"/>
  <cols>
    <col min="2" max="2" width="23.42578125" customWidth="1"/>
    <col min="3" max="3" width="12.85546875" customWidth="1"/>
    <col min="4" max="4" width="10.42578125" customWidth="1"/>
    <col min="5" max="6" width="11.42578125" customWidth="1"/>
    <col min="7" max="7" width="31" customWidth="1"/>
    <col min="8" max="8" width="13.85546875" style="1" customWidth="1"/>
    <col min="9" max="9" width="27.42578125" style="1" customWidth="1"/>
    <col min="10" max="10" width="30.85546875" style="1" customWidth="1"/>
    <col min="11" max="11" width="24" style="1" customWidth="1"/>
    <col min="12" max="12" width="27" style="1" customWidth="1"/>
    <col min="13" max="13" width="32.42578125" style="1" customWidth="1"/>
    <col min="14" max="14" width="36.42578125" style="1" customWidth="1"/>
    <col min="15" max="20" width="13.85546875" style="1" customWidth="1"/>
    <col min="21" max="21" width="12.140625" customWidth="1"/>
  </cols>
  <sheetData>
    <row r="1" spans="1:21" ht="15.75" thickBot="1" x14ac:dyDescent="0.3"/>
    <row r="2" spans="1:21" ht="43.5" customHeight="1" thickBot="1" x14ac:dyDescent="0.3">
      <c r="B2" s="199" t="s">
        <v>120</v>
      </c>
      <c r="C2" s="200"/>
      <c r="D2" s="200"/>
      <c r="E2" s="200"/>
      <c r="F2" s="200"/>
      <c r="G2" s="200"/>
      <c r="H2" s="200"/>
      <c r="I2" s="200"/>
      <c r="J2" s="200"/>
      <c r="K2" s="200"/>
      <c r="L2" s="200"/>
      <c r="M2" s="200"/>
      <c r="N2" s="200"/>
      <c r="O2" s="200"/>
      <c r="P2" s="200"/>
      <c r="Q2" s="200"/>
      <c r="R2" s="200"/>
      <c r="S2" s="200"/>
      <c r="T2" s="200"/>
      <c r="U2" s="201"/>
    </row>
    <row r="3" spans="1:21" ht="33.75" customHeight="1" x14ac:dyDescent="0.25">
      <c r="B3" s="281" t="s">
        <v>90</v>
      </c>
      <c r="C3" s="283" t="s">
        <v>9</v>
      </c>
      <c r="D3" s="210"/>
      <c r="E3" s="210"/>
      <c r="F3" s="210"/>
      <c r="G3" s="210"/>
      <c r="H3" s="211" t="s">
        <v>10</v>
      </c>
      <c r="I3" s="212"/>
      <c r="J3" s="213"/>
      <c r="K3" s="211" t="s">
        <v>11</v>
      </c>
      <c r="L3" s="212"/>
      <c r="M3" s="213"/>
      <c r="N3" s="202" t="s">
        <v>12</v>
      </c>
      <c r="O3" s="262"/>
      <c r="P3" s="262"/>
      <c r="Q3" s="262"/>
      <c r="R3" s="262"/>
      <c r="S3" s="262"/>
      <c r="T3" s="202" t="s">
        <v>13</v>
      </c>
      <c r="U3" s="203"/>
    </row>
    <row r="4" spans="1:21" ht="105.75" thickBot="1" x14ac:dyDescent="0.3">
      <c r="B4" s="282"/>
      <c r="C4" s="24" t="s">
        <v>14</v>
      </c>
      <c r="D4" s="24" t="s">
        <v>15</v>
      </c>
      <c r="E4" s="24" t="s">
        <v>16</v>
      </c>
      <c r="F4" s="24" t="s">
        <v>18</v>
      </c>
      <c r="G4" s="64" t="s">
        <v>17</v>
      </c>
      <c r="H4" s="25" t="s">
        <v>69</v>
      </c>
      <c r="I4" s="26" t="s">
        <v>21</v>
      </c>
      <c r="J4" s="65" t="s">
        <v>70</v>
      </c>
      <c r="K4" s="25" t="s">
        <v>19</v>
      </c>
      <c r="L4" s="26" t="s">
        <v>20</v>
      </c>
      <c r="M4" s="65" t="s">
        <v>22</v>
      </c>
      <c r="N4" s="25" t="s">
        <v>23</v>
      </c>
      <c r="O4" s="25" t="s">
        <v>24</v>
      </c>
      <c r="P4" s="25" t="s">
        <v>25</v>
      </c>
      <c r="Q4" s="26" t="s">
        <v>26</v>
      </c>
      <c r="R4" s="27" t="s">
        <v>27</v>
      </c>
      <c r="S4" s="66" t="s">
        <v>28</v>
      </c>
      <c r="T4" s="67" t="s">
        <v>98</v>
      </c>
      <c r="U4" s="28" t="s">
        <v>99</v>
      </c>
    </row>
    <row r="5" spans="1:21" ht="48" customHeight="1" x14ac:dyDescent="0.25">
      <c r="B5" s="273" t="s">
        <v>92</v>
      </c>
      <c r="C5" s="71" t="s">
        <v>57</v>
      </c>
      <c r="D5" s="29">
        <v>20000</v>
      </c>
      <c r="E5" s="29">
        <v>50</v>
      </c>
      <c r="F5" s="29">
        <f t="shared" ref="F5:F10" si="0">D5*E5/100</f>
        <v>10000</v>
      </c>
      <c r="G5" s="221">
        <f>(SUM(F5:F6)/D5)*100</f>
        <v>75</v>
      </c>
      <c r="H5" s="30">
        <v>300</v>
      </c>
      <c r="I5" s="70">
        <f>F5*H5/1000</f>
        <v>3000</v>
      </c>
      <c r="J5" s="187">
        <f>SUMPRODUCT(F5:F6,H5:H6)/SUM(F5:F6)</f>
        <v>333.33333333333331</v>
      </c>
      <c r="K5" s="30">
        <v>6</v>
      </c>
      <c r="L5" s="32">
        <f t="shared" ref="L5:L10" si="1">F5*(K5/100)</f>
        <v>600</v>
      </c>
      <c r="M5" s="190">
        <f>SUMPRODUCT(F5:F6,K5:K6)/SUM(F5:F6)</f>
        <v>8</v>
      </c>
      <c r="N5" s="82">
        <v>0.8</v>
      </c>
      <c r="O5" s="98">
        <f t="shared" ref="O5:O10" si="2">F5*N5</f>
        <v>8000</v>
      </c>
      <c r="P5" s="191">
        <f>SUM(O5:O6)</f>
        <v>20500</v>
      </c>
      <c r="Q5" s="194">
        <v>0.3</v>
      </c>
      <c r="R5" s="197">
        <f>(P5*Q5)/100</f>
        <v>61.5</v>
      </c>
      <c r="S5" s="231">
        <f>(P5/SUM(F5:F6))*Q5</f>
        <v>0.41</v>
      </c>
      <c r="T5" s="225">
        <f>Result!E4</f>
        <v>0.35</v>
      </c>
      <c r="U5" s="183">
        <f>(F5+F6)*T5</f>
        <v>5250</v>
      </c>
    </row>
    <row r="6" spans="1:21" ht="48" customHeight="1" thickBot="1" x14ac:dyDescent="0.3">
      <c r="B6" s="284"/>
      <c r="C6" s="26" t="s">
        <v>0</v>
      </c>
      <c r="D6" s="34">
        <v>10000</v>
      </c>
      <c r="E6" s="34">
        <v>50</v>
      </c>
      <c r="F6" s="34">
        <f t="shared" si="0"/>
        <v>5000</v>
      </c>
      <c r="G6" s="222"/>
      <c r="H6" s="35">
        <v>400</v>
      </c>
      <c r="I6" s="36">
        <f t="shared" ref="I6:I8" si="3">F6*H6/1000</f>
        <v>2000</v>
      </c>
      <c r="J6" s="264"/>
      <c r="K6" s="35">
        <v>12</v>
      </c>
      <c r="L6" s="37">
        <f t="shared" si="1"/>
        <v>600</v>
      </c>
      <c r="M6" s="263"/>
      <c r="N6" s="93">
        <v>2.5</v>
      </c>
      <c r="O6" s="99">
        <f t="shared" si="2"/>
        <v>12500</v>
      </c>
      <c r="P6" s="230"/>
      <c r="Q6" s="214"/>
      <c r="R6" s="224"/>
      <c r="S6" s="232"/>
      <c r="T6" s="226"/>
      <c r="U6" s="223"/>
    </row>
    <row r="7" spans="1:21" ht="48" customHeight="1" x14ac:dyDescent="0.25">
      <c r="B7" s="273" t="s">
        <v>93</v>
      </c>
      <c r="C7" s="71" t="s">
        <v>1</v>
      </c>
      <c r="D7" s="29">
        <v>20000</v>
      </c>
      <c r="E7" s="29">
        <v>50</v>
      </c>
      <c r="F7" s="29">
        <f t="shared" si="0"/>
        <v>10000</v>
      </c>
      <c r="G7" s="221">
        <f>(SUM(F7+F10)/D7)*100</f>
        <v>82.242000000000004</v>
      </c>
      <c r="H7" s="38">
        <v>300</v>
      </c>
      <c r="I7" s="33">
        <f t="shared" si="3"/>
        <v>3000</v>
      </c>
      <c r="J7" s="186">
        <f>SUMPRODUCT(F7:F10,H7:H10)/SUM(F7:F10)</f>
        <v>245.17478652243065</v>
      </c>
      <c r="K7" s="38">
        <v>6</v>
      </c>
      <c r="L7" s="39">
        <f t="shared" si="1"/>
        <v>600</v>
      </c>
      <c r="M7" s="189">
        <f>SUMPRODUCT(F7:F10,K7:K10)/SUM(F7:F10)</f>
        <v>4.6513406504156745</v>
      </c>
      <c r="N7" s="82">
        <v>0.8</v>
      </c>
      <c r="O7" s="98">
        <f t="shared" si="2"/>
        <v>8000</v>
      </c>
      <c r="P7" s="191">
        <f>SUM(O7:O10)</f>
        <v>17480.52</v>
      </c>
      <c r="Q7" s="194">
        <v>0.3</v>
      </c>
      <c r="R7" s="197">
        <f>(P7*Q7)/100</f>
        <v>52.441560000000003</v>
      </c>
      <c r="S7" s="235">
        <f>(P7/SUM(F7:F10))*Q7</f>
        <v>0.14788767188187385</v>
      </c>
      <c r="T7" s="236">
        <f>Result!E7</f>
        <v>0.35</v>
      </c>
      <c r="U7" s="183">
        <f>(F7+F10)*T7</f>
        <v>5756.9400000000005</v>
      </c>
    </row>
    <row r="8" spans="1:21" ht="48" customHeight="1" x14ac:dyDescent="0.25">
      <c r="B8" s="274"/>
      <c r="C8" s="40" t="s">
        <v>71</v>
      </c>
      <c r="D8" s="41">
        <v>10000</v>
      </c>
      <c r="E8" s="41">
        <v>98</v>
      </c>
      <c r="F8" s="41">
        <f t="shared" si="0"/>
        <v>9800</v>
      </c>
      <c r="G8" s="238"/>
      <c r="H8" s="42">
        <v>33</v>
      </c>
      <c r="I8" s="43">
        <f t="shared" si="3"/>
        <v>323.39999999999998</v>
      </c>
      <c r="J8" s="187"/>
      <c r="K8" s="42">
        <v>3</v>
      </c>
      <c r="L8" s="44">
        <f t="shared" si="1"/>
        <v>294</v>
      </c>
      <c r="M8" s="190"/>
      <c r="N8" s="94">
        <v>0.3</v>
      </c>
      <c r="O8" s="100">
        <f t="shared" si="2"/>
        <v>2940</v>
      </c>
      <c r="P8" s="192"/>
      <c r="Q8" s="195"/>
      <c r="R8" s="198"/>
      <c r="S8" s="217"/>
      <c r="T8" s="227"/>
      <c r="U8" s="184"/>
    </row>
    <row r="9" spans="1:21" ht="45" customHeight="1" x14ac:dyDescent="0.25">
      <c r="B9" s="274"/>
      <c r="C9" s="24" t="s">
        <v>81</v>
      </c>
      <c r="D9" s="77">
        <v>9800</v>
      </c>
      <c r="E9" s="77">
        <v>94</v>
      </c>
      <c r="F9" s="77">
        <f t="shared" si="0"/>
        <v>9212</v>
      </c>
      <c r="G9" s="238"/>
      <c r="H9" s="78">
        <v>373</v>
      </c>
      <c r="I9" s="79">
        <f>F9*H9/1000</f>
        <v>3436.076</v>
      </c>
      <c r="J9" s="187"/>
      <c r="K9" s="78">
        <v>4</v>
      </c>
      <c r="L9" s="80">
        <f t="shared" si="1"/>
        <v>368.48</v>
      </c>
      <c r="M9" s="190"/>
      <c r="N9" s="95">
        <v>0.15</v>
      </c>
      <c r="O9" s="101">
        <f t="shared" si="2"/>
        <v>1381.8</v>
      </c>
      <c r="P9" s="192"/>
      <c r="Q9" s="195"/>
      <c r="R9" s="198"/>
      <c r="S9" s="217"/>
      <c r="T9" s="227"/>
      <c r="U9" s="184"/>
    </row>
    <row r="10" spans="1:21" ht="45" customHeight="1" thickBot="1" x14ac:dyDescent="0.3">
      <c r="B10" s="275"/>
      <c r="C10" s="26" t="s">
        <v>0</v>
      </c>
      <c r="D10" s="34">
        <v>9212</v>
      </c>
      <c r="E10" s="34">
        <v>70</v>
      </c>
      <c r="F10" s="34">
        <f t="shared" si="0"/>
        <v>6448.4</v>
      </c>
      <c r="G10" s="188"/>
      <c r="H10" s="35">
        <v>300</v>
      </c>
      <c r="I10" s="36">
        <f>F10*H10/1000</f>
        <v>1934.52</v>
      </c>
      <c r="J10" s="188"/>
      <c r="K10" s="35">
        <v>6</v>
      </c>
      <c r="L10" s="37">
        <f t="shared" si="1"/>
        <v>386.90399999999994</v>
      </c>
      <c r="M10" s="188"/>
      <c r="N10" s="93">
        <v>0.8</v>
      </c>
      <c r="O10" s="99">
        <f t="shared" si="2"/>
        <v>5158.72</v>
      </c>
      <c r="P10" s="234"/>
      <c r="Q10" s="216"/>
      <c r="R10" s="216"/>
      <c r="S10" s="188"/>
      <c r="T10" s="229"/>
      <c r="U10" s="188"/>
    </row>
    <row r="11" spans="1:21" ht="45" customHeight="1" x14ac:dyDescent="0.25">
      <c r="B11" s="273" t="s">
        <v>94</v>
      </c>
      <c r="C11" s="71" t="s">
        <v>1</v>
      </c>
      <c r="D11" s="69">
        <v>10000</v>
      </c>
      <c r="E11" s="69">
        <v>50</v>
      </c>
      <c r="F11" s="29">
        <f>D11*E11/100</f>
        <v>5000</v>
      </c>
      <c r="G11" s="221">
        <f>(SUM(F11+F12+F13)/ (D11+D12))*100</f>
        <v>96.25</v>
      </c>
      <c r="H11" s="38">
        <v>300</v>
      </c>
      <c r="I11" s="33">
        <f>F11*H11/1000</f>
        <v>1500</v>
      </c>
      <c r="J11" s="186">
        <f>SUMPRODUCT(F11:F13,H11:H13)/SUM(F11:F13)</f>
        <v>95.441558441558442</v>
      </c>
      <c r="K11" s="38">
        <v>6</v>
      </c>
      <c r="L11" s="39">
        <f>F11*(K11/100)</f>
        <v>300</v>
      </c>
      <c r="M11" s="189">
        <f>SUMPRODUCT(F11:F13,K11:K13)/SUM(F11:F13)</f>
        <v>3.2857142857142856</v>
      </c>
      <c r="N11" s="82">
        <v>0.8</v>
      </c>
      <c r="O11" s="98">
        <f>F11*N11</f>
        <v>4000</v>
      </c>
      <c r="P11" s="191">
        <f>SUM(O11:O13)</f>
        <v>7087.5</v>
      </c>
      <c r="Q11" s="194">
        <v>0.3</v>
      </c>
      <c r="R11" s="197">
        <f>(P11*Q11)/100</f>
        <v>21.262499999999999</v>
      </c>
      <c r="S11" s="235">
        <f>(P11/SUM(F11:F13))*Q11</f>
        <v>0.11045454545454544</v>
      </c>
      <c r="T11" s="236">
        <v>0.12</v>
      </c>
      <c r="U11" s="183">
        <f>(D12+F12+F13)*T11+(F11*T7)</f>
        <v>4660</v>
      </c>
    </row>
    <row r="12" spans="1:21" ht="45" customHeight="1" x14ac:dyDescent="0.25">
      <c r="B12" s="280"/>
      <c r="C12" s="68" t="s">
        <v>71</v>
      </c>
      <c r="D12" s="69">
        <v>10000</v>
      </c>
      <c r="E12" s="69">
        <v>95</v>
      </c>
      <c r="F12" s="69">
        <f>D12*E12/100</f>
        <v>9500</v>
      </c>
      <c r="G12" s="218"/>
      <c r="H12" s="30">
        <v>33</v>
      </c>
      <c r="I12" s="70">
        <f>F12*H12/100</f>
        <v>3135</v>
      </c>
      <c r="J12" s="218"/>
      <c r="K12" s="30">
        <v>3</v>
      </c>
      <c r="L12" s="32">
        <f>F12*(K12/100)</f>
        <v>285</v>
      </c>
      <c r="M12" s="218"/>
      <c r="N12" s="96">
        <v>0.3</v>
      </c>
      <c r="O12" s="102">
        <f>F12*N12</f>
        <v>2850</v>
      </c>
      <c r="P12" s="233"/>
      <c r="Q12" s="215"/>
      <c r="R12" s="215"/>
      <c r="S12" s="218"/>
      <c r="T12" s="228"/>
      <c r="U12" s="218"/>
    </row>
    <row r="13" spans="1:21" ht="36" customHeight="1" thickBot="1" x14ac:dyDescent="0.3">
      <c r="B13" s="280"/>
      <c r="C13" s="40" t="s">
        <v>72</v>
      </c>
      <c r="D13" s="34">
        <v>5000</v>
      </c>
      <c r="E13" s="34">
        <v>95</v>
      </c>
      <c r="F13" s="41">
        <f>D13*E13/100</f>
        <v>4750</v>
      </c>
      <c r="G13" s="185"/>
      <c r="H13" s="42">
        <v>5</v>
      </c>
      <c r="I13" s="43">
        <f>F13*H13/100</f>
        <v>237.5</v>
      </c>
      <c r="J13" s="185"/>
      <c r="K13" s="42">
        <v>1</v>
      </c>
      <c r="L13" s="44">
        <f>F13*(K13/100)</f>
        <v>47.5</v>
      </c>
      <c r="M13" s="185"/>
      <c r="N13" s="94">
        <v>0.05</v>
      </c>
      <c r="O13" s="100">
        <f>F13*N13</f>
        <v>237.5</v>
      </c>
      <c r="P13" s="193"/>
      <c r="Q13" s="196"/>
      <c r="R13" s="196"/>
      <c r="S13" s="185"/>
      <c r="T13" s="237"/>
      <c r="U13" s="185"/>
    </row>
    <row r="14" spans="1:21" ht="36" customHeight="1" thickBot="1" x14ac:dyDescent="0.3">
      <c r="A14" s="107"/>
      <c r="B14" s="108"/>
      <c r="C14" s="72"/>
      <c r="D14" s="73"/>
      <c r="E14" s="73"/>
      <c r="F14" s="73"/>
      <c r="G14" s="14"/>
      <c r="H14" s="73"/>
      <c r="I14" s="74"/>
      <c r="J14" s="14"/>
      <c r="K14" s="73"/>
      <c r="L14" s="75"/>
      <c r="M14" s="14"/>
      <c r="N14" s="73"/>
      <c r="O14" s="74"/>
      <c r="P14" s="14"/>
      <c r="Q14" s="14"/>
      <c r="R14" s="14"/>
      <c r="S14" s="14"/>
      <c r="T14" s="14"/>
      <c r="U14" s="14"/>
    </row>
    <row r="15" spans="1:21" ht="64.150000000000006" customHeight="1" thickBot="1" x14ac:dyDescent="0.3">
      <c r="B15" s="204" t="s">
        <v>30</v>
      </c>
      <c r="C15" s="205"/>
      <c r="D15" s="205"/>
      <c r="E15" s="205"/>
      <c r="F15" s="205"/>
      <c r="G15" s="86" t="s">
        <v>29</v>
      </c>
      <c r="H15"/>
      <c r="I15" s="279" t="s">
        <v>86</v>
      </c>
      <c r="J15" s="245"/>
      <c r="K15" s="245"/>
      <c r="L15" s="245"/>
      <c r="M15" s="245"/>
      <c r="N15" s="246"/>
      <c r="Q15"/>
      <c r="R15"/>
      <c r="S15"/>
      <c r="T15"/>
    </row>
    <row r="16" spans="1:21" ht="67.900000000000006" customHeight="1" thickBot="1" x14ac:dyDescent="0.3">
      <c r="B16" s="206" t="s">
        <v>31</v>
      </c>
      <c r="C16" s="207"/>
      <c r="D16" s="207"/>
      <c r="E16" s="207"/>
      <c r="F16" s="207"/>
      <c r="G16" s="141">
        <v>2</v>
      </c>
      <c r="I16" s="45" t="s">
        <v>5</v>
      </c>
      <c r="J16" s="6" t="s">
        <v>4</v>
      </c>
      <c r="K16" s="6" t="s">
        <v>76</v>
      </c>
      <c r="L16" s="6" t="s">
        <v>74</v>
      </c>
      <c r="M16" s="7" t="s">
        <v>3</v>
      </c>
      <c r="N16" s="76" t="s">
        <v>90</v>
      </c>
      <c r="Q16"/>
      <c r="R16"/>
      <c r="S16"/>
      <c r="T16"/>
    </row>
    <row r="17" spans="2:20" ht="78.599999999999994" customHeight="1" thickBot="1" x14ac:dyDescent="0.3">
      <c r="B17" s="208" t="s">
        <v>32</v>
      </c>
      <c r="C17" s="209"/>
      <c r="D17" s="209"/>
      <c r="E17" s="209"/>
      <c r="F17" s="209"/>
      <c r="G17" s="142">
        <v>16</v>
      </c>
      <c r="I17" s="8">
        <f>SUM(J17:M17)</f>
        <v>259200</v>
      </c>
      <c r="J17" s="47">
        <v>86400</v>
      </c>
      <c r="K17" s="47">
        <v>0</v>
      </c>
      <c r="L17" s="47">
        <v>0</v>
      </c>
      <c r="M17" s="47">
        <v>172800</v>
      </c>
      <c r="N17" s="5" t="s">
        <v>111</v>
      </c>
      <c r="Q17"/>
      <c r="R17"/>
      <c r="S17"/>
      <c r="T17"/>
    </row>
    <row r="18" spans="2:20" ht="71.45" customHeight="1" thickBot="1" x14ac:dyDescent="0.3">
      <c r="B18" s="208" t="s">
        <v>33</v>
      </c>
      <c r="C18" s="209"/>
      <c r="D18" s="209"/>
      <c r="E18" s="209"/>
      <c r="F18" s="209"/>
      <c r="G18" s="142">
        <f>G17</f>
        <v>16</v>
      </c>
      <c r="I18" s="8">
        <f>SUM(J18:M18)</f>
        <v>263674</v>
      </c>
      <c r="J18" s="47">
        <v>86400</v>
      </c>
      <c r="K18" s="47">
        <v>1350</v>
      </c>
      <c r="L18" s="47">
        <v>3124</v>
      </c>
      <c r="M18" s="47">
        <v>172800</v>
      </c>
      <c r="N18" s="5" t="s">
        <v>113</v>
      </c>
      <c r="Q18"/>
      <c r="R18"/>
      <c r="S18"/>
      <c r="T18"/>
    </row>
    <row r="19" spans="2:20" ht="60.6" customHeight="1" thickBot="1" x14ac:dyDescent="0.3">
      <c r="B19" s="208" t="s">
        <v>34</v>
      </c>
      <c r="C19" s="209"/>
      <c r="D19" s="209"/>
      <c r="E19" s="209"/>
      <c r="F19" s="209"/>
      <c r="G19" s="142">
        <v>5</v>
      </c>
      <c r="I19" s="8">
        <f>SUM(J19:M19)</f>
        <v>131382</v>
      </c>
      <c r="J19" s="47">
        <v>0</v>
      </c>
      <c r="K19" s="47">
        <v>220</v>
      </c>
      <c r="L19" s="47">
        <v>1562</v>
      </c>
      <c r="M19" s="47">
        <v>129600</v>
      </c>
      <c r="N19" s="5" t="s">
        <v>80</v>
      </c>
      <c r="Q19"/>
      <c r="R19"/>
      <c r="S19"/>
      <c r="T19"/>
    </row>
    <row r="20" spans="2:20" ht="60.6" customHeight="1" thickBot="1" x14ac:dyDescent="0.3">
      <c r="B20" s="269" t="s">
        <v>73</v>
      </c>
      <c r="C20" s="270"/>
      <c r="D20" s="270"/>
      <c r="E20" s="270"/>
      <c r="F20" s="270"/>
      <c r="G20" s="143">
        <v>1</v>
      </c>
      <c r="I20"/>
      <c r="J20"/>
      <c r="Q20"/>
      <c r="R20"/>
      <c r="S20"/>
      <c r="T20"/>
    </row>
    <row r="21" spans="2:20" ht="21" customHeight="1" thickBot="1" x14ac:dyDescent="0.3">
      <c r="I21"/>
      <c r="J21"/>
      <c r="Q21"/>
      <c r="R21"/>
      <c r="S21"/>
      <c r="T21"/>
    </row>
    <row r="22" spans="2:20" ht="34.5" customHeight="1" thickBot="1" x14ac:dyDescent="0.3">
      <c r="B22" s="247" t="s">
        <v>60</v>
      </c>
      <c r="C22" s="248"/>
      <c r="D22" s="248"/>
      <c r="E22" s="248"/>
      <c r="F22" s="249"/>
      <c r="G22" s="86" t="s">
        <v>36</v>
      </c>
      <c r="I22"/>
      <c r="J22"/>
      <c r="Q22"/>
      <c r="R22"/>
      <c r="S22"/>
      <c r="T22"/>
    </row>
    <row r="23" spans="2:20" ht="40.5" customHeight="1" x14ac:dyDescent="0.25">
      <c r="B23" s="256" t="s">
        <v>37</v>
      </c>
      <c r="C23" s="257"/>
      <c r="D23" s="257"/>
      <c r="E23" s="257"/>
      <c r="F23" s="258"/>
      <c r="G23" s="144">
        <f>(I11+I12+I13)*1000</f>
        <v>4872500</v>
      </c>
      <c r="H23"/>
      <c r="I23"/>
      <c r="J23"/>
      <c r="Q23"/>
      <c r="R23"/>
      <c r="S23"/>
      <c r="T23"/>
    </row>
    <row r="24" spans="2:20" ht="36.75" customHeight="1" x14ac:dyDescent="0.25">
      <c r="B24" s="265" t="s">
        <v>38</v>
      </c>
      <c r="C24" s="254"/>
      <c r="D24" s="254"/>
      <c r="E24" s="254"/>
      <c r="F24" s="255"/>
      <c r="G24" s="145">
        <f>(L11+L12+L13)*365</f>
        <v>230862.5</v>
      </c>
      <c r="H24"/>
      <c r="I24"/>
      <c r="J24"/>
      <c r="K24"/>
      <c r="L24"/>
      <c r="M24"/>
      <c r="N24"/>
      <c r="O24"/>
      <c r="P24"/>
      <c r="Q24"/>
      <c r="R24"/>
      <c r="S24"/>
      <c r="T24"/>
    </row>
    <row r="25" spans="2:20" ht="39" customHeight="1" x14ac:dyDescent="0.25">
      <c r="B25" s="265" t="s">
        <v>39</v>
      </c>
      <c r="C25" s="254"/>
      <c r="D25" s="254"/>
      <c r="E25" s="254"/>
      <c r="F25" s="255"/>
      <c r="G25" s="145">
        <f>(R11)*365</f>
        <v>7760.8125</v>
      </c>
      <c r="H25"/>
      <c r="I25"/>
      <c r="J25"/>
      <c r="K25"/>
      <c r="L25"/>
      <c r="M25"/>
      <c r="N25"/>
      <c r="O25"/>
      <c r="P25"/>
      <c r="Q25"/>
      <c r="R25"/>
      <c r="S25"/>
      <c r="T25"/>
    </row>
    <row r="26" spans="2:20" ht="36.6" customHeight="1" x14ac:dyDescent="0.25">
      <c r="B26" s="253" t="s">
        <v>110</v>
      </c>
      <c r="C26" s="254"/>
      <c r="D26" s="254"/>
      <c r="E26" s="254"/>
      <c r="F26" s="255"/>
      <c r="G26" s="145" t="s">
        <v>108</v>
      </c>
      <c r="H26"/>
      <c r="I26"/>
      <c r="J26"/>
      <c r="K26"/>
      <c r="L26"/>
      <c r="M26"/>
      <c r="N26"/>
      <c r="O26"/>
      <c r="P26"/>
      <c r="Q26"/>
      <c r="R26"/>
      <c r="S26"/>
      <c r="T26"/>
    </row>
    <row r="27" spans="2:20" ht="37.15" customHeight="1" x14ac:dyDescent="0.25">
      <c r="B27" s="208" t="s">
        <v>40</v>
      </c>
      <c r="C27" s="209"/>
      <c r="D27" s="209"/>
      <c r="E27" s="209"/>
      <c r="F27" s="209"/>
      <c r="G27" s="145">
        <f>0.1*G23</f>
        <v>487250</v>
      </c>
      <c r="H27"/>
      <c r="I27"/>
      <c r="J27"/>
      <c r="K27"/>
      <c r="L27"/>
      <c r="M27"/>
      <c r="N27"/>
      <c r="O27"/>
      <c r="P27"/>
      <c r="Q27"/>
      <c r="R27"/>
      <c r="S27"/>
      <c r="T27"/>
    </row>
    <row r="28" spans="2:20" ht="43.5" customHeight="1" x14ac:dyDescent="0.25">
      <c r="B28" s="265" t="s">
        <v>41</v>
      </c>
      <c r="C28" s="254"/>
      <c r="D28" s="254"/>
      <c r="E28" s="254"/>
      <c r="F28" s="255"/>
      <c r="G28" s="145">
        <f>U11*365</f>
        <v>1700900</v>
      </c>
      <c r="H28"/>
      <c r="I28"/>
      <c r="J28"/>
      <c r="K28"/>
      <c r="L28"/>
      <c r="M28"/>
      <c r="N28"/>
      <c r="O28"/>
      <c r="P28"/>
      <c r="Q28"/>
      <c r="R28"/>
      <c r="S28"/>
      <c r="T28"/>
    </row>
    <row r="29" spans="2:20" ht="45" customHeight="1" x14ac:dyDescent="0.25">
      <c r="B29" s="208" t="s">
        <v>42</v>
      </c>
      <c r="C29" s="209"/>
      <c r="D29" s="209"/>
      <c r="E29" s="209"/>
      <c r="F29" s="209"/>
      <c r="G29" s="145">
        <f>0.1*G23</f>
        <v>487250</v>
      </c>
      <c r="H29"/>
      <c r="I29"/>
      <c r="J29"/>
      <c r="K29"/>
      <c r="L29"/>
      <c r="M29"/>
      <c r="N29"/>
      <c r="O29"/>
      <c r="P29"/>
      <c r="Q29"/>
      <c r="R29"/>
      <c r="S29"/>
      <c r="T29"/>
    </row>
    <row r="30" spans="2:20" ht="37.5" customHeight="1" x14ac:dyDescent="0.25">
      <c r="B30" s="266" t="s">
        <v>43</v>
      </c>
      <c r="C30" s="267"/>
      <c r="D30" s="267"/>
      <c r="E30" s="267"/>
      <c r="F30" s="268"/>
      <c r="G30" s="146">
        <f>Result!C6</f>
        <v>0.15</v>
      </c>
      <c r="H30"/>
      <c r="I30"/>
      <c r="J30"/>
      <c r="K30"/>
      <c r="L30"/>
      <c r="M30"/>
      <c r="N30"/>
      <c r="O30"/>
      <c r="P30"/>
      <c r="Q30"/>
      <c r="R30"/>
      <c r="S30"/>
      <c r="T30"/>
    </row>
    <row r="31" spans="2:20" ht="34.5" customHeight="1" x14ac:dyDescent="0.25">
      <c r="B31" s="266" t="s">
        <v>44</v>
      </c>
      <c r="C31" s="267"/>
      <c r="D31" s="267"/>
      <c r="E31" s="267"/>
      <c r="F31" s="268"/>
      <c r="G31" s="147">
        <v>0.25</v>
      </c>
      <c r="H31"/>
      <c r="I31"/>
      <c r="J31"/>
      <c r="K31"/>
      <c r="L31"/>
      <c r="M31"/>
      <c r="N31"/>
      <c r="O31"/>
      <c r="P31"/>
      <c r="Q31"/>
      <c r="R31"/>
      <c r="S31"/>
      <c r="T31"/>
    </row>
    <row r="32" spans="2:20" ht="36" customHeight="1" x14ac:dyDescent="0.25">
      <c r="B32" s="250" t="s">
        <v>45</v>
      </c>
      <c r="C32" s="251"/>
      <c r="D32" s="251"/>
      <c r="E32" s="251"/>
      <c r="F32" s="252"/>
      <c r="G32" s="147">
        <f>Result!D6</f>
        <v>0.18</v>
      </c>
      <c r="H32"/>
      <c r="I32" s="15"/>
      <c r="J32"/>
      <c r="K32"/>
      <c r="L32"/>
      <c r="M32"/>
      <c r="N32"/>
      <c r="O32"/>
      <c r="P32"/>
      <c r="Q32"/>
      <c r="R32"/>
      <c r="S32"/>
      <c r="T32"/>
    </row>
    <row r="33" spans="2:20" ht="38.25" customHeight="1" thickBot="1" x14ac:dyDescent="0.3">
      <c r="B33" s="271" t="s">
        <v>107</v>
      </c>
      <c r="C33" s="272"/>
      <c r="D33" s="272"/>
      <c r="E33" s="272"/>
      <c r="F33" s="272"/>
      <c r="G33" s="148">
        <f>Result!F6</f>
        <v>0.18</v>
      </c>
      <c r="H33"/>
      <c r="I33" s="4"/>
      <c r="J33"/>
      <c r="K33"/>
      <c r="L33"/>
      <c r="M33"/>
      <c r="N33"/>
      <c r="O33"/>
      <c r="P33"/>
      <c r="Q33"/>
      <c r="R33"/>
      <c r="S33"/>
      <c r="T33"/>
    </row>
    <row r="34" spans="2:20" ht="21" customHeight="1" thickBot="1" x14ac:dyDescent="0.3">
      <c r="H34"/>
      <c r="I34"/>
      <c r="J34"/>
      <c r="K34"/>
      <c r="L34"/>
      <c r="M34"/>
      <c r="N34"/>
      <c r="O34"/>
      <c r="P34"/>
      <c r="Q34"/>
      <c r="R34"/>
      <c r="S34"/>
      <c r="T34"/>
    </row>
    <row r="35" spans="2:20" s="2" customFormat="1" ht="185.25" x14ac:dyDescent="0.25">
      <c r="B35" s="165" t="s">
        <v>106</v>
      </c>
      <c r="C35" s="165" t="s">
        <v>46</v>
      </c>
      <c r="D35" s="165" t="s">
        <v>47</v>
      </c>
      <c r="E35" s="165" t="s">
        <v>48</v>
      </c>
      <c r="F35" s="166" t="s">
        <v>49</v>
      </c>
      <c r="G35" s="165" t="s">
        <v>50</v>
      </c>
      <c r="H35" s="165" t="s">
        <v>51</v>
      </c>
      <c r="I35" s="165" t="s">
        <v>100</v>
      </c>
      <c r="J35" s="165" t="s">
        <v>52</v>
      </c>
      <c r="K35" s="165" t="s">
        <v>53</v>
      </c>
      <c r="L35" s="167" t="s">
        <v>54</v>
      </c>
      <c r="M35" s="167" t="s">
        <v>55</v>
      </c>
      <c r="N35" s="167" t="s">
        <v>61</v>
      </c>
    </row>
    <row r="36" spans="2:20" ht="15" customHeight="1" x14ac:dyDescent="0.25">
      <c r="B36" s="155">
        <v>0</v>
      </c>
      <c r="C36" s="145">
        <f>G23</f>
        <v>4872500</v>
      </c>
      <c r="D36" s="156"/>
      <c r="E36" s="156"/>
      <c r="F36" s="156"/>
      <c r="G36" s="157"/>
      <c r="H36" s="156"/>
      <c r="I36" s="156"/>
      <c r="J36" s="156"/>
      <c r="K36" s="156"/>
      <c r="L36" s="168">
        <f t="shared" ref="L36:L52" si="4">I36-SUM(C36:H36,K36)</f>
        <v>-4872500</v>
      </c>
      <c r="M36" s="158">
        <f>SUM($L$36:L36)</f>
        <v>-4872500</v>
      </c>
      <c r="N36" s="159">
        <f>PV(G30,B36,0,M36)</f>
        <v>4872500</v>
      </c>
      <c r="O36"/>
      <c r="P36"/>
      <c r="Q36"/>
      <c r="R36"/>
      <c r="S36"/>
      <c r="T36"/>
    </row>
    <row r="37" spans="2:20" ht="15" customHeight="1" x14ac:dyDescent="0.25">
      <c r="B37" s="155">
        <v>1</v>
      </c>
      <c r="C37" s="145"/>
      <c r="D37" s="156">
        <f t="shared" ref="D37:D52" si="5">$G$24*(1+$G$32)^(B37-1)</f>
        <v>230862.5</v>
      </c>
      <c r="E37" s="156">
        <f t="shared" ref="E37:E52" si="6">$G$25*(1+$G$32)^(B37-1)</f>
        <v>7760.8125</v>
      </c>
      <c r="F37" s="156"/>
      <c r="G37" s="157"/>
      <c r="H37" s="156">
        <f>(C36)/16</f>
        <v>304531.25</v>
      </c>
      <c r="I37" s="156">
        <f t="shared" ref="I37:I51" si="7">$G$28*(1+$G$33)^(B37-1)</f>
        <v>1700900</v>
      </c>
      <c r="J37" s="156"/>
      <c r="K37" s="156">
        <f t="shared" ref="K37:K52" si="8">IF(I37&gt;0,I37*$G$31,0)</f>
        <v>425225</v>
      </c>
      <c r="L37" s="156">
        <f t="shared" si="4"/>
        <v>732520.4375</v>
      </c>
      <c r="M37" s="158">
        <f>SUM($L$36:L37)</f>
        <v>-4139979.5625</v>
      </c>
      <c r="N37" s="159">
        <f t="shared" ref="N37:N52" si="9">PV($G$30,B37,0,-L37)</f>
        <v>636974.29347826086</v>
      </c>
      <c r="O37"/>
      <c r="P37"/>
      <c r="Q37"/>
      <c r="R37"/>
      <c r="S37"/>
      <c r="T37"/>
    </row>
    <row r="38" spans="2:20" ht="15" customHeight="1" x14ac:dyDescent="0.25">
      <c r="B38" s="155">
        <v>2</v>
      </c>
      <c r="C38" s="145"/>
      <c r="D38" s="156">
        <f t="shared" si="5"/>
        <v>272417.75</v>
      </c>
      <c r="E38" s="156">
        <f t="shared" si="6"/>
        <v>9157.7587499999991</v>
      </c>
      <c r="F38" s="156"/>
      <c r="G38" s="157"/>
      <c r="H38" s="156">
        <f>H37</f>
        <v>304531.25</v>
      </c>
      <c r="I38" s="156">
        <f t="shared" si="7"/>
        <v>2007062</v>
      </c>
      <c r="J38" s="156"/>
      <c r="K38" s="156">
        <f t="shared" si="8"/>
        <v>501765.5</v>
      </c>
      <c r="L38" s="156">
        <f t="shared" si="4"/>
        <v>919189.74124999996</v>
      </c>
      <c r="M38" s="158">
        <f>SUM($L$36:L38)</f>
        <v>-3220789.82125</v>
      </c>
      <c r="N38" s="159">
        <f t="shared" si="9"/>
        <v>695039.50189035921</v>
      </c>
      <c r="O38"/>
      <c r="P38"/>
      <c r="Q38"/>
      <c r="R38"/>
      <c r="S38"/>
      <c r="T38"/>
    </row>
    <row r="39" spans="2:20" ht="15" customHeight="1" x14ac:dyDescent="0.25">
      <c r="B39" s="155">
        <v>3</v>
      </c>
      <c r="C39" s="145"/>
      <c r="D39" s="156">
        <f t="shared" si="5"/>
        <v>321452.94499999995</v>
      </c>
      <c r="E39" s="156">
        <f t="shared" si="6"/>
        <v>10806.155325</v>
      </c>
      <c r="F39" s="156"/>
      <c r="G39" s="157"/>
      <c r="H39" s="156">
        <f t="shared" ref="H39:H52" si="10">H38</f>
        <v>304531.25</v>
      </c>
      <c r="I39" s="156">
        <f t="shared" si="7"/>
        <v>2368333.1599999997</v>
      </c>
      <c r="J39" s="156"/>
      <c r="K39" s="156">
        <f t="shared" si="8"/>
        <v>592083.28999999992</v>
      </c>
      <c r="L39" s="156">
        <f t="shared" si="4"/>
        <v>1139459.5196749996</v>
      </c>
      <c r="M39" s="158">
        <f>SUM($L$36:L39)</f>
        <v>-2081330.3015750004</v>
      </c>
      <c r="N39" s="159">
        <f t="shared" si="9"/>
        <v>749213.13038546883</v>
      </c>
      <c r="O39"/>
      <c r="P39"/>
      <c r="Q39"/>
      <c r="R39"/>
      <c r="S39"/>
      <c r="T39"/>
    </row>
    <row r="40" spans="2:20" ht="15" customHeight="1" x14ac:dyDescent="0.25">
      <c r="B40" s="155">
        <v>4</v>
      </c>
      <c r="C40" s="145"/>
      <c r="D40" s="156">
        <f t="shared" si="5"/>
        <v>379314.47509999998</v>
      </c>
      <c r="E40" s="156">
        <f t="shared" si="6"/>
        <v>12751.263283499999</v>
      </c>
      <c r="F40" s="156"/>
      <c r="G40" s="157"/>
      <c r="H40" s="156">
        <f t="shared" si="10"/>
        <v>304531.25</v>
      </c>
      <c r="I40" s="156">
        <f t="shared" si="7"/>
        <v>2794633.1287999996</v>
      </c>
      <c r="J40" s="156"/>
      <c r="K40" s="156">
        <f t="shared" si="8"/>
        <v>698658.2821999999</v>
      </c>
      <c r="L40" s="156">
        <f t="shared" si="4"/>
        <v>1399377.8582164999</v>
      </c>
      <c r="M40" s="158">
        <f>SUM($L$36:L40)</f>
        <v>-681952.44335850049</v>
      </c>
      <c r="N40" s="159">
        <f t="shared" si="9"/>
        <v>800098.83224631147</v>
      </c>
      <c r="O40"/>
      <c r="P40"/>
      <c r="Q40"/>
      <c r="R40"/>
      <c r="S40"/>
      <c r="T40"/>
    </row>
    <row r="41" spans="2:20" ht="15" customHeight="1" x14ac:dyDescent="0.25">
      <c r="B41" s="155">
        <v>5</v>
      </c>
      <c r="C41" s="145"/>
      <c r="D41" s="156">
        <f t="shared" si="5"/>
        <v>447591.08061799989</v>
      </c>
      <c r="E41" s="156">
        <f t="shared" si="6"/>
        <v>15046.490674529996</v>
      </c>
      <c r="F41" s="156"/>
      <c r="G41" s="157"/>
      <c r="H41" s="156">
        <f t="shared" si="10"/>
        <v>304531.25</v>
      </c>
      <c r="I41" s="156">
        <f t="shared" si="7"/>
        <v>3297667.0919839991</v>
      </c>
      <c r="J41" s="156"/>
      <c r="K41" s="156">
        <f t="shared" si="8"/>
        <v>824416.77299599978</v>
      </c>
      <c r="L41" s="156">
        <f t="shared" si="4"/>
        <v>1706081.4976954695</v>
      </c>
      <c r="M41" s="158">
        <f>SUM($L$36:L41)</f>
        <v>1024129.054336969</v>
      </c>
      <c r="N41" s="159">
        <f t="shared" si="9"/>
        <v>848224.02917705046</v>
      </c>
      <c r="O41"/>
      <c r="P41"/>
      <c r="Q41"/>
      <c r="R41"/>
      <c r="S41"/>
      <c r="T41"/>
    </row>
    <row r="42" spans="2:20" ht="15" customHeight="1" x14ac:dyDescent="0.25">
      <c r="B42" s="155">
        <v>6</v>
      </c>
      <c r="C42" s="145"/>
      <c r="D42" s="156">
        <f t="shared" si="5"/>
        <v>528157.47512923984</v>
      </c>
      <c r="E42" s="156">
        <f t="shared" si="6"/>
        <v>17754.858995945393</v>
      </c>
      <c r="F42" s="156">
        <f>(M19+J19)*(1+G32)^(B42-1)</f>
        <v>296493.40528127988</v>
      </c>
      <c r="G42" s="156">
        <f>G27*(1+G32)^(B42-1)</f>
        <v>1114709.9670007995</v>
      </c>
      <c r="H42" s="156">
        <f t="shared" si="10"/>
        <v>304531.25</v>
      </c>
      <c r="I42" s="156">
        <f t="shared" si="7"/>
        <v>3891247.1685411185</v>
      </c>
      <c r="J42" s="156"/>
      <c r="K42" s="156">
        <f t="shared" si="8"/>
        <v>972811.79213527963</v>
      </c>
      <c r="L42" s="156">
        <f t="shared" si="4"/>
        <v>656788.41999857407</v>
      </c>
      <c r="M42" s="158">
        <f>SUM($L$36:L42)</f>
        <v>1680917.4743355431</v>
      </c>
      <c r="N42" s="159">
        <f t="shared" si="9"/>
        <v>283947.75864053314</v>
      </c>
      <c r="O42"/>
      <c r="P42"/>
      <c r="Q42"/>
      <c r="R42"/>
      <c r="S42"/>
      <c r="T42"/>
    </row>
    <row r="43" spans="2:20" ht="15" customHeight="1" x14ac:dyDescent="0.25">
      <c r="B43" s="155">
        <v>7</v>
      </c>
      <c r="C43" s="145"/>
      <c r="D43" s="156">
        <f t="shared" si="5"/>
        <v>623225.82065250305</v>
      </c>
      <c r="E43" s="156">
        <f t="shared" si="6"/>
        <v>20950.733615215566</v>
      </c>
      <c r="F43" s="156"/>
      <c r="G43" s="157"/>
      <c r="H43" s="156">
        <f>H42+(G42/10)</f>
        <v>416002.24670007994</v>
      </c>
      <c r="I43" s="156">
        <f t="shared" si="7"/>
        <v>4591671.6588785201</v>
      </c>
      <c r="J43" s="156"/>
      <c r="K43" s="156">
        <f t="shared" si="8"/>
        <v>1147917.91471963</v>
      </c>
      <c r="L43" s="156">
        <f t="shared" si="4"/>
        <v>2383574.9431910915</v>
      </c>
      <c r="M43" s="158">
        <f>SUM($L$36:L43)</f>
        <v>4064492.4175266344</v>
      </c>
      <c r="N43" s="159">
        <f t="shared" si="9"/>
        <v>896074.10857811267</v>
      </c>
      <c r="O43"/>
      <c r="P43"/>
      <c r="Q43"/>
      <c r="R43"/>
      <c r="S43"/>
      <c r="T43"/>
    </row>
    <row r="44" spans="2:20" ht="15" customHeight="1" x14ac:dyDescent="0.25">
      <c r="B44" s="155">
        <v>8</v>
      </c>
      <c r="C44" s="145"/>
      <c r="D44" s="156">
        <f t="shared" si="5"/>
        <v>735406.46836995357</v>
      </c>
      <c r="E44" s="156">
        <f t="shared" si="6"/>
        <v>24721.865665954367</v>
      </c>
      <c r="F44" s="156"/>
      <c r="G44" s="157"/>
      <c r="H44" s="156">
        <f t="shared" si="10"/>
        <v>416002.24670007994</v>
      </c>
      <c r="I44" s="156">
        <f t="shared" si="7"/>
        <v>5418172.5574766537</v>
      </c>
      <c r="J44" s="156"/>
      <c r="K44" s="156">
        <f t="shared" si="8"/>
        <v>1354543.1393691634</v>
      </c>
      <c r="L44" s="156">
        <f t="shared" si="4"/>
        <v>2887498.8373715021</v>
      </c>
      <c r="M44" s="158">
        <f>SUM($L$36:L44)</f>
        <v>6951991.2548981365</v>
      </c>
      <c r="N44" s="159">
        <f t="shared" si="9"/>
        <v>943928.49191549048</v>
      </c>
      <c r="O44"/>
      <c r="P44"/>
      <c r="Q44"/>
      <c r="R44"/>
      <c r="S44"/>
      <c r="T44"/>
    </row>
    <row r="45" spans="2:20" ht="15" customHeight="1" x14ac:dyDescent="0.25">
      <c r="B45" s="155">
        <v>9</v>
      </c>
      <c r="C45" s="145"/>
      <c r="D45" s="156">
        <f t="shared" si="5"/>
        <v>867779.63267654506</v>
      </c>
      <c r="E45" s="156">
        <f t="shared" si="6"/>
        <v>29171.801485826149</v>
      </c>
      <c r="F45" s="156">
        <f>L19*(1+G32)^(B45-1)</f>
        <v>5871.3380745715021</v>
      </c>
      <c r="G45" s="157"/>
      <c r="H45" s="156">
        <f t="shared" si="10"/>
        <v>416002.24670007994</v>
      </c>
      <c r="I45" s="156">
        <f t="shared" si="7"/>
        <v>6393443.6178224506</v>
      </c>
      <c r="J45" s="156"/>
      <c r="K45" s="156">
        <f t="shared" si="8"/>
        <v>1598360.9044556126</v>
      </c>
      <c r="L45" s="156">
        <f t="shared" si="4"/>
        <v>3476257.6944298153</v>
      </c>
      <c r="M45" s="158">
        <f>SUM($L$36:L45)</f>
        <v>10428248.949327951</v>
      </c>
      <c r="N45" s="159">
        <f t="shared" si="9"/>
        <v>988169.39709173515</v>
      </c>
      <c r="O45"/>
      <c r="P45"/>
      <c r="Q45"/>
      <c r="R45"/>
      <c r="S45"/>
      <c r="T45"/>
    </row>
    <row r="46" spans="2:20" ht="15" customHeight="1" x14ac:dyDescent="0.25">
      <c r="B46" s="155">
        <v>10</v>
      </c>
      <c r="C46" s="145"/>
      <c r="D46" s="156">
        <f t="shared" si="5"/>
        <v>1023979.9665583232</v>
      </c>
      <c r="E46" s="156">
        <f t="shared" si="6"/>
        <v>34422.725753274855</v>
      </c>
      <c r="F46" s="156"/>
      <c r="G46" s="157"/>
      <c r="H46" s="156">
        <f t="shared" si="10"/>
        <v>416002.24670007994</v>
      </c>
      <c r="I46" s="156">
        <f t="shared" si="7"/>
        <v>7544263.469030492</v>
      </c>
      <c r="J46" s="156"/>
      <c r="K46" s="156">
        <f t="shared" si="8"/>
        <v>1886065.867257623</v>
      </c>
      <c r="L46" s="156">
        <f t="shared" si="4"/>
        <v>4183792.6627611909</v>
      </c>
      <c r="M46" s="158">
        <f>SUM($L$36:L46)</f>
        <v>14612041.612089142</v>
      </c>
      <c r="N46" s="159">
        <f t="shared" si="9"/>
        <v>1034169.5598194436</v>
      </c>
      <c r="O46"/>
      <c r="P46"/>
      <c r="Q46"/>
      <c r="R46"/>
      <c r="S46"/>
      <c r="T46"/>
    </row>
    <row r="47" spans="2:20" ht="15" customHeight="1" x14ac:dyDescent="0.25">
      <c r="B47" s="155">
        <v>11</v>
      </c>
      <c r="C47" s="145"/>
      <c r="D47" s="156">
        <f t="shared" si="5"/>
        <v>1208296.3605388212</v>
      </c>
      <c r="E47" s="156">
        <f t="shared" si="6"/>
        <v>40618.816388864325</v>
      </c>
      <c r="F47" s="156"/>
      <c r="G47" s="157"/>
      <c r="H47" s="156">
        <f t="shared" si="10"/>
        <v>416002.24670007994</v>
      </c>
      <c r="I47" s="156">
        <f t="shared" si="7"/>
        <v>8902230.8934559803</v>
      </c>
      <c r="J47" s="156"/>
      <c r="K47" s="156">
        <f t="shared" si="8"/>
        <v>2225557.7233639951</v>
      </c>
      <c r="L47" s="156">
        <f t="shared" si="4"/>
        <v>5011755.7464642199</v>
      </c>
      <c r="M47" s="158">
        <f>SUM($L$36:L47)</f>
        <v>19623797.358553361</v>
      </c>
      <c r="N47" s="159">
        <f t="shared" si="9"/>
        <v>1077242.9316037658</v>
      </c>
      <c r="O47"/>
      <c r="P47"/>
      <c r="Q47"/>
      <c r="R47"/>
      <c r="S47"/>
      <c r="T47"/>
    </row>
    <row r="48" spans="2:20" ht="15" customHeight="1" x14ac:dyDescent="0.25">
      <c r="B48" s="155">
        <v>12</v>
      </c>
      <c r="C48" s="145"/>
      <c r="D48" s="156">
        <f t="shared" si="5"/>
        <v>1425789.705435809</v>
      </c>
      <c r="E48" s="156">
        <f t="shared" si="6"/>
        <v>47930.203338859908</v>
      </c>
      <c r="F48" s="156">
        <f>(M19+J19)*(1+G32)^(B48-1)</f>
        <v>800400.00357130694</v>
      </c>
      <c r="G48" s="157"/>
      <c r="H48" s="156">
        <f t="shared" si="10"/>
        <v>416002.24670007994</v>
      </c>
      <c r="I48" s="156">
        <f t="shared" si="7"/>
        <v>10504632.454278056</v>
      </c>
      <c r="J48" s="156"/>
      <c r="K48" s="156">
        <f t="shared" si="8"/>
        <v>2626158.1135695139</v>
      </c>
      <c r="L48" s="156">
        <f t="shared" si="4"/>
        <v>5188352.1816624859</v>
      </c>
      <c r="M48" s="158">
        <f>SUM($L$36:L48)</f>
        <v>24812149.540215846</v>
      </c>
      <c r="N48" s="159">
        <f t="shared" si="9"/>
        <v>969740.12043930695</v>
      </c>
      <c r="O48"/>
      <c r="P48"/>
      <c r="Q48"/>
      <c r="R48"/>
      <c r="S48"/>
      <c r="T48"/>
    </row>
    <row r="49" spans="2:20" ht="15" customHeight="1" x14ac:dyDescent="0.25">
      <c r="B49" s="155">
        <v>13</v>
      </c>
      <c r="C49" s="145"/>
      <c r="D49" s="156">
        <f t="shared" si="5"/>
        <v>1682431.8524142543</v>
      </c>
      <c r="E49" s="156">
        <f t="shared" si="6"/>
        <v>56557.639939854678</v>
      </c>
      <c r="F49" s="156"/>
      <c r="G49" s="157"/>
      <c r="H49" s="156">
        <f t="shared" si="10"/>
        <v>416002.24670007994</v>
      </c>
      <c r="I49" s="156">
        <f t="shared" si="7"/>
        <v>12395466.296048105</v>
      </c>
      <c r="J49" s="156"/>
      <c r="K49" s="156">
        <f t="shared" si="8"/>
        <v>3098866.5740120262</v>
      </c>
      <c r="L49" s="156">
        <f t="shared" si="4"/>
        <v>7141607.9829818895</v>
      </c>
      <c r="M49" s="158">
        <f>SUM($L$36:L49)</f>
        <v>31953757.523197737</v>
      </c>
      <c r="N49" s="159">
        <f t="shared" si="9"/>
        <v>1160710.9529125995</v>
      </c>
      <c r="O49"/>
      <c r="P49"/>
      <c r="Q49"/>
      <c r="R49"/>
      <c r="S49"/>
      <c r="T49"/>
    </row>
    <row r="50" spans="2:20" ht="15" customHeight="1" x14ac:dyDescent="0.25">
      <c r="B50" s="155">
        <v>14</v>
      </c>
      <c r="C50" s="145"/>
      <c r="D50" s="156">
        <f t="shared" si="5"/>
        <v>1985269.5858488202</v>
      </c>
      <c r="E50" s="156">
        <f t="shared" si="6"/>
        <v>66738.015129028514</v>
      </c>
      <c r="F50" s="156"/>
      <c r="G50" s="157"/>
      <c r="H50" s="156">
        <f t="shared" si="10"/>
        <v>416002.24670007994</v>
      </c>
      <c r="I50" s="156">
        <f t="shared" si="7"/>
        <v>14626650.229336761</v>
      </c>
      <c r="J50" s="156"/>
      <c r="K50" s="156">
        <f t="shared" si="8"/>
        <v>3656662.5573341902</v>
      </c>
      <c r="L50" s="156">
        <f t="shared" si="4"/>
        <v>8501977.8243246414</v>
      </c>
      <c r="M50" s="158">
        <f>SUM($L$36:L50)</f>
        <v>40455735.347522378</v>
      </c>
      <c r="N50" s="159">
        <f t="shared" si="9"/>
        <v>1201573.1161396978</v>
      </c>
      <c r="O50"/>
      <c r="P50"/>
      <c r="Q50"/>
      <c r="R50"/>
      <c r="S50"/>
      <c r="T50"/>
    </row>
    <row r="51" spans="2:20" ht="15" customHeight="1" x14ac:dyDescent="0.25">
      <c r="B51" s="155">
        <v>15</v>
      </c>
      <c r="C51" s="145"/>
      <c r="D51" s="156">
        <f t="shared" si="5"/>
        <v>2342618.1113016079</v>
      </c>
      <c r="E51" s="156">
        <f t="shared" si="6"/>
        <v>78750.857852253655</v>
      </c>
      <c r="F51" s="156"/>
      <c r="G51" s="157"/>
      <c r="H51" s="156">
        <f t="shared" si="10"/>
        <v>416002.24670007994</v>
      </c>
      <c r="I51" s="156">
        <f t="shared" si="7"/>
        <v>17259447.270617381</v>
      </c>
      <c r="J51" s="156"/>
      <c r="K51" s="156">
        <f t="shared" si="8"/>
        <v>4314861.8176543452</v>
      </c>
      <c r="L51" s="156">
        <f t="shared" si="4"/>
        <v>10107214.237109095</v>
      </c>
      <c r="M51" s="158">
        <f>SUM($L$36:L51)</f>
        <v>50562949.584631473</v>
      </c>
      <c r="N51" s="159">
        <f t="shared" si="9"/>
        <v>1242120.8905295702</v>
      </c>
      <c r="O51"/>
      <c r="P51"/>
      <c r="Q51"/>
      <c r="R51"/>
      <c r="S51"/>
      <c r="T51"/>
    </row>
    <row r="52" spans="2:20" ht="15" customHeight="1" thickBot="1" x14ac:dyDescent="0.3">
      <c r="B52" s="160">
        <v>16</v>
      </c>
      <c r="C52" s="169"/>
      <c r="D52" s="161">
        <f t="shared" si="5"/>
        <v>2764289.3713358971</v>
      </c>
      <c r="E52" s="161">
        <f t="shared" si="6"/>
        <v>92926.012265659316</v>
      </c>
      <c r="F52" s="161"/>
      <c r="G52" s="162"/>
      <c r="H52" s="161">
        <f t="shared" si="10"/>
        <v>416002.24670007994</v>
      </c>
      <c r="I52" s="161">
        <f>($G$28*(1+$G$33)^(B52-1))+J52</f>
        <v>26200356.436790921</v>
      </c>
      <c r="J52" s="161">
        <f>G29*(1+G32)^(B52-1)</f>
        <v>5834208.6574624116</v>
      </c>
      <c r="K52" s="161">
        <f t="shared" si="8"/>
        <v>6550089.1091977302</v>
      </c>
      <c r="L52" s="161">
        <f t="shared" si="4"/>
        <v>16377049.697291553</v>
      </c>
      <c r="M52" s="163">
        <f>SUM($L$36:L52)</f>
        <v>66939999.281923026</v>
      </c>
      <c r="N52" s="164">
        <f t="shared" si="9"/>
        <v>1750129.6449833545</v>
      </c>
      <c r="O52"/>
      <c r="P52"/>
      <c r="Q52"/>
      <c r="R52"/>
      <c r="S52"/>
      <c r="T52"/>
    </row>
    <row r="53" spans="2:20" ht="15" customHeight="1" thickBot="1" x14ac:dyDescent="0.3">
      <c r="L53" s="3"/>
      <c r="M53"/>
      <c r="N53"/>
      <c r="O53"/>
      <c r="P53"/>
      <c r="Q53"/>
      <c r="R53"/>
      <c r="S53"/>
      <c r="T53"/>
    </row>
    <row r="54" spans="2:20" ht="67.900000000000006" customHeight="1" thickBot="1" x14ac:dyDescent="0.3">
      <c r="B54" s="259" t="s">
        <v>67</v>
      </c>
      <c r="C54" s="260"/>
      <c r="D54" s="260"/>
      <c r="E54" s="260"/>
      <c r="F54" s="260"/>
      <c r="G54" s="260"/>
      <c r="H54" s="261"/>
      <c r="I54" s="21" t="s">
        <v>2</v>
      </c>
      <c r="J54" s="17">
        <f>NPV(G30,L36:L52)</f>
        <v>9047701.5302878767</v>
      </c>
      <c r="K54"/>
    </row>
    <row r="55" spans="2:20" ht="71.45" customHeight="1" thickBot="1" x14ac:dyDescent="0.3">
      <c r="B55" s="259" t="s">
        <v>58</v>
      </c>
      <c r="C55" s="260"/>
      <c r="D55" s="260"/>
      <c r="E55" s="260"/>
      <c r="F55" s="260"/>
      <c r="G55" s="260"/>
      <c r="H55" s="261"/>
      <c r="I55" s="16" t="s">
        <v>6</v>
      </c>
      <c r="J55" s="18">
        <f>IFERROR(IRR(L36:L52),"به دلیل NPV منفی قابل محاسبه نیست.")</f>
        <v>0.32227250822186781</v>
      </c>
      <c r="K55"/>
    </row>
    <row r="56" spans="2:20" ht="75.599999999999994" customHeight="1" thickBot="1" x14ac:dyDescent="0.3">
      <c r="B56" s="259" t="s">
        <v>68</v>
      </c>
      <c r="C56" s="260"/>
      <c r="D56" s="260"/>
      <c r="E56" s="260"/>
      <c r="F56" s="260"/>
      <c r="G56" s="260"/>
      <c r="H56" s="261"/>
      <c r="I56" s="61" t="s">
        <v>59</v>
      </c>
      <c r="J56" s="19">
        <f>COUNTIF(M36:M52,"&lt;0")</f>
        <v>5</v>
      </c>
    </row>
    <row r="57" spans="2:20" x14ac:dyDescent="0.25">
      <c r="I57" s="14"/>
      <c r="J57" s="13"/>
    </row>
  </sheetData>
  <mergeCells count="59">
    <mergeCell ref="B2:U2"/>
    <mergeCell ref="J5:J6"/>
    <mergeCell ref="M5:M6"/>
    <mergeCell ref="Q5:Q6"/>
    <mergeCell ref="T3:U3"/>
    <mergeCell ref="B3:B4"/>
    <mergeCell ref="C3:G3"/>
    <mergeCell ref="H3:J3"/>
    <mergeCell ref="K3:M3"/>
    <mergeCell ref="N3:S3"/>
    <mergeCell ref="R5:R6"/>
    <mergeCell ref="S5:S6"/>
    <mergeCell ref="T5:T6"/>
    <mergeCell ref="U5:U6"/>
    <mergeCell ref="B5:B6"/>
    <mergeCell ref="G5:G6"/>
    <mergeCell ref="P5:P6"/>
    <mergeCell ref="T11:T13"/>
    <mergeCell ref="U11:U13"/>
    <mergeCell ref="B30:F30"/>
    <mergeCell ref="B32:F32"/>
    <mergeCell ref="B23:F23"/>
    <mergeCell ref="B24:F24"/>
    <mergeCell ref="B26:F26"/>
    <mergeCell ref="B28:F28"/>
    <mergeCell ref="B31:F31"/>
    <mergeCell ref="B25:F25"/>
    <mergeCell ref="B15:F15"/>
    <mergeCell ref="I15:N15"/>
    <mergeCell ref="B11:B13"/>
    <mergeCell ref="G11:G13"/>
    <mergeCell ref="J11:J13"/>
    <mergeCell ref="S11:S13"/>
    <mergeCell ref="B54:H54"/>
    <mergeCell ref="B55:H55"/>
    <mergeCell ref="B56:H56"/>
    <mergeCell ref="Q11:Q13"/>
    <mergeCell ref="R11:R13"/>
    <mergeCell ref="M11:M13"/>
    <mergeCell ref="P11:P13"/>
    <mergeCell ref="B29:F29"/>
    <mergeCell ref="B27:F27"/>
    <mergeCell ref="B22:F22"/>
    <mergeCell ref="B16:F16"/>
    <mergeCell ref="B17:F17"/>
    <mergeCell ref="B18:F18"/>
    <mergeCell ref="B19:F19"/>
    <mergeCell ref="B20:F20"/>
    <mergeCell ref="B33:F33"/>
    <mergeCell ref="B7:B10"/>
    <mergeCell ref="G7:G10"/>
    <mergeCell ref="J7:J10"/>
    <mergeCell ref="M7:M10"/>
    <mergeCell ref="U7:U10"/>
    <mergeCell ref="P7:P10"/>
    <mergeCell ref="R7:R10"/>
    <mergeCell ref="Q7:Q10"/>
    <mergeCell ref="S7:S10"/>
    <mergeCell ref="T7:T10"/>
  </mergeCells>
  <conditionalFormatting sqref="C39:D48 B39:B52 B36:D38 F36:F48 H36:H48 I36:I52">
    <cfRule type="expression" dxfId="13" priority="13">
      <formula>#REF!&gt;#REF!</formula>
    </cfRule>
  </conditionalFormatting>
  <conditionalFormatting sqref="M36:M52 H49:H52 C49:D52 F49:F52">
    <cfRule type="expression" dxfId="12" priority="48">
      <formula>#REF!&gt;#REF!</formula>
    </cfRule>
  </conditionalFormatting>
  <conditionalFormatting sqref="K36:K52">
    <cfRule type="expression" dxfId="11" priority="10">
      <formula>#REF!&gt;#REF!</formula>
    </cfRule>
  </conditionalFormatting>
  <conditionalFormatting sqref="L37:L52">
    <cfRule type="expression" dxfId="10" priority="9">
      <formula>#REF!&gt;#REF!</formula>
    </cfRule>
  </conditionalFormatting>
  <conditionalFormatting sqref="L36">
    <cfRule type="expression" dxfId="9" priority="8">
      <formula>#REF!&gt;#REF!</formula>
    </cfRule>
  </conditionalFormatting>
  <conditionalFormatting sqref="J36:J52">
    <cfRule type="expression" dxfId="8" priority="7">
      <formula>#REF!&gt;#REF!</formula>
    </cfRule>
  </conditionalFormatting>
  <conditionalFormatting sqref="E36">
    <cfRule type="expression" dxfId="7" priority="5">
      <formula>#REF!&gt;#REF!</formula>
    </cfRule>
  </conditionalFormatting>
  <conditionalFormatting sqref="E37:E48">
    <cfRule type="expression" dxfId="6" priority="3">
      <formula>#REF!&gt;#REF!</formula>
    </cfRule>
  </conditionalFormatting>
  <conditionalFormatting sqref="E49:E52">
    <cfRule type="expression" dxfId="5" priority="4">
      <formula>#REF!&gt;#REF!</formula>
    </cfRule>
  </conditionalFormatting>
  <conditionalFormatting sqref="G23:G27">
    <cfRule type="expression" dxfId="4" priority="1">
      <formula>#REF!&gt;#REF!</formula>
    </cfRule>
  </conditionalFormatting>
  <conditionalFormatting sqref="G28:G29">
    <cfRule type="expression" dxfId="3" priority="2">
      <formula>#REF!&gt;#REF!</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0"/>
  <sheetViews>
    <sheetView topLeftCell="A12" zoomScale="115" zoomScaleNormal="115" workbookViewId="0">
      <selection activeCell="B19" sqref="B19:F19"/>
    </sheetView>
  </sheetViews>
  <sheetFormatPr defaultRowHeight="15" x14ac:dyDescent="0.25"/>
  <cols>
    <col min="2" max="2" width="18.28515625" style="1" customWidth="1"/>
    <col min="3" max="3" width="20.140625" style="1" customWidth="1"/>
    <col min="4" max="4" width="19" style="1" customWidth="1"/>
    <col min="5" max="5" width="24.42578125" style="1" customWidth="1"/>
    <col min="6" max="6" width="13.85546875" style="1" customWidth="1"/>
    <col min="7" max="7" width="0.140625" style="1" customWidth="1"/>
    <col min="8" max="9" width="13.85546875" style="1" customWidth="1"/>
    <col min="10" max="10" width="22.28515625" style="1" customWidth="1"/>
    <col min="11" max="13" width="13.85546875" style="1" customWidth="1"/>
  </cols>
  <sheetData>
    <row r="1" spans="2:21" ht="15.75" thickBot="1" x14ac:dyDescent="0.3"/>
    <row r="2" spans="2:21" ht="48.75" customHeight="1" thickBot="1" x14ac:dyDescent="0.3">
      <c r="B2" s="295" t="s">
        <v>121</v>
      </c>
      <c r="C2" s="296"/>
      <c r="D2" s="296"/>
      <c r="E2" s="296"/>
      <c r="F2" s="297"/>
      <c r="G2" s="179"/>
      <c r="H2" s="180"/>
      <c r="I2" s="180"/>
      <c r="J2" s="180"/>
      <c r="K2"/>
      <c r="L2"/>
      <c r="M2"/>
    </row>
    <row r="3" spans="2:21" ht="77.25" customHeight="1" thickBot="1" x14ac:dyDescent="0.3">
      <c r="B3" s="170" t="s">
        <v>63</v>
      </c>
      <c r="C3" s="171" t="s">
        <v>65</v>
      </c>
      <c r="D3" s="171" t="s">
        <v>66</v>
      </c>
      <c r="E3" s="170" t="s">
        <v>97</v>
      </c>
      <c r="F3" s="171" t="s">
        <v>96</v>
      </c>
      <c r="G3"/>
      <c r="H3"/>
      <c r="I3"/>
      <c r="J3"/>
      <c r="K3"/>
      <c r="L3"/>
      <c r="M3"/>
    </row>
    <row r="4" spans="2:21" ht="33.75" customHeight="1" thickBot="1" x14ac:dyDescent="0.3">
      <c r="B4" s="9" t="s">
        <v>87</v>
      </c>
      <c r="C4" s="174">
        <v>0.15</v>
      </c>
      <c r="D4" s="174">
        <v>0.18</v>
      </c>
      <c r="E4" s="175">
        <v>0.35</v>
      </c>
      <c r="F4" s="176">
        <v>0.18</v>
      </c>
      <c r="G4"/>
      <c r="H4"/>
      <c r="I4"/>
      <c r="J4"/>
      <c r="K4"/>
      <c r="L4"/>
      <c r="M4"/>
    </row>
    <row r="5" spans="2:21" ht="33.75" customHeight="1" thickBot="1" x14ac:dyDescent="0.3">
      <c r="B5" s="10" t="s">
        <v>88</v>
      </c>
      <c r="C5" s="176">
        <v>0.15</v>
      </c>
      <c r="D5" s="176">
        <v>0.18</v>
      </c>
      <c r="E5" s="175">
        <v>0.35</v>
      </c>
      <c r="F5" s="176">
        <v>0.18</v>
      </c>
      <c r="G5"/>
      <c r="H5"/>
      <c r="I5"/>
      <c r="J5"/>
      <c r="K5"/>
      <c r="L5"/>
      <c r="M5"/>
    </row>
    <row r="6" spans="2:21" ht="33.75" customHeight="1" thickBot="1" x14ac:dyDescent="0.3">
      <c r="B6" s="290" t="s">
        <v>89</v>
      </c>
      <c r="C6" s="292">
        <v>0.15</v>
      </c>
      <c r="D6" s="292">
        <v>0.18</v>
      </c>
      <c r="E6" s="175" t="s">
        <v>117</v>
      </c>
      <c r="F6" s="292">
        <v>0.18</v>
      </c>
      <c r="G6"/>
      <c r="H6"/>
      <c r="I6"/>
      <c r="J6"/>
      <c r="K6"/>
      <c r="L6"/>
      <c r="M6"/>
    </row>
    <row r="7" spans="2:21" ht="33.75" customHeight="1" thickBot="1" x14ac:dyDescent="0.3">
      <c r="B7" s="291"/>
      <c r="C7" s="293"/>
      <c r="D7" s="293"/>
      <c r="E7" s="175">
        <v>0.35</v>
      </c>
      <c r="F7" s="293"/>
      <c r="G7"/>
      <c r="H7"/>
      <c r="I7"/>
      <c r="J7"/>
      <c r="K7"/>
      <c r="L7"/>
      <c r="M7"/>
    </row>
    <row r="8" spans="2:21" ht="30" customHeight="1" thickBot="1" x14ac:dyDescent="0.3">
      <c r="B8" s="294" t="s">
        <v>115</v>
      </c>
      <c r="C8" s="294"/>
      <c r="D8" s="294"/>
      <c r="E8" s="294"/>
      <c r="F8" s="294"/>
      <c r="G8"/>
      <c r="H8"/>
      <c r="I8"/>
      <c r="J8"/>
      <c r="K8"/>
      <c r="L8"/>
      <c r="M8"/>
    </row>
    <row r="9" spans="2:21" ht="27.75" customHeight="1" thickBot="1" x14ac:dyDescent="0.3">
      <c r="B9" s="170" t="s">
        <v>64</v>
      </c>
      <c r="C9" s="170" t="s">
        <v>2</v>
      </c>
      <c r="D9" s="170" t="s">
        <v>6</v>
      </c>
      <c r="E9" s="301" t="s">
        <v>8</v>
      </c>
      <c r="F9" s="302"/>
      <c r="G9"/>
      <c r="J9"/>
      <c r="K9"/>
      <c r="L9"/>
      <c r="M9"/>
    </row>
    <row r="10" spans="2:21" ht="27.75" customHeight="1" thickBot="1" x14ac:dyDescent="0.3">
      <c r="B10" s="9" t="s">
        <v>87</v>
      </c>
      <c r="C10" s="172">
        <f>'Alternative 1'!J54</f>
        <v>7758264.8421730287</v>
      </c>
      <c r="D10" s="173">
        <f>'Alternative 1'!J55</f>
        <v>0.29818927910505377</v>
      </c>
      <c r="E10" s="303">
        <f>'Alternative 1'!J56</f>
        <v>5</v>
      </c>
      <c r="F10" s="304"/>
      <c r="G10"/>
      <c r="H10" s="11"/>
      <c r="I10" s="12"/>
      <c r="J10"/>
      <c r="K10"/>
      <c r="L10"/>
      <c r="M10"/>
    </row>
    <row r="11" spans="2:21" ht="27.75" customHeight="1" thickBot="1" x14ac:dyDescent="0.3">
      <c r="B11" s="10" t="s">
        <v>88</v>
      </c>
      <c r="C11" s="172">
        <f>'Alternative 2'!J54</f>
        <v>7578717.402538578</v>
      </c>
      <c r="D11" s="173">
        <f>'Alternative 2'!J55</f>
        <v>0.26149029287389536</v>
      </c>
      <c r="E11" s="303">
        <f>'Alternative 2'!J56</f>
        <v>7</v>
      </c>
      <c r="F11" s="304"/>
      <c r="G11"/>
      <c r="H11" s="11"/>
      <c r="I11" s="12"/>
      <c r="J11"/>
      <c r="K11" s="4"/>
      <c r="L11"/>
      <c r="M11"/>
    </row>
    <row r="12" spans="2:21" ht="27.75" customHeight="1" thickBot="1" x14ac:dyDescent="0.3">
      <c r="B12" s="177" t="s">
        <v>89</v>
      </c>
      <c r="C12" s="177">
        <f>'Alternative 3'!J54</f>
        <v>9047701.5302878767</v>
      </c>
      <c r="D12" s="178">
        <f>'Alternative 3'!J55</f>
        <v>0.32227250822186781</v>
      </c>
      <c r="E12" s="305">
        <f>'Alternative 3'!J56</f>
        <v>5</v>
      </c>
      <c r="F12" s="306"/>
      <c r="G12"/>
      <c r="H12" s="11"/>
      <c r="I12" s="12"/>
      <c r="J12"/>
      <c r="K12" s="4"/>
      <c r="L12"/>
      <c r="M12"/>
    </row>
    <row r="13" spans="2:21" ht="27.75" customHeight="1" thickBot="1" x14ac:dyDescent="0.3">
      <c r="B13"/>
      <c r="C13"/>
      <c r="J13"/>
      <c r="K13"/>
      <c r="L13"/>
      <c r="M13"/>
    </row>
    <row r="14" spans="2:21" ht="185.25" customHeight="1" thickBot="1" x14ac:dyDescent="0.3">
      <c r="B14" s="298" t="s">
        <v>116</v>
      </c>
      <c r="C14" s="299"/>
      <c r="D14" s="299"/>
      <c r="E14" s="299"/>
      <c r="F14" s="300"/>
      <c r="G14" s="181"/>
      <c r="H14" s="182"/>
      <c r="I14" s="182"/>
      <c r="J14" s="182"/>
      <c r="K14" s="107"/>
      <c r="L14" s="288" t="s">
        <v>122</v>
      </c>
      <c r="M14" s="289"/>
      <c r="N14" s="289"/>
      <c r="O14" s="289"/>
      <c r="P14" s="289"/>
      <c r="Q14" s="289"/>
      <c r="R14" s="289"/>
      <c r="S14" s="289"/>
      <c r="T14" s="289"/>
      <c r="U14" s="107"/>
    </row>
    <row r="15" spans="2:21" x14ac:dyDescent="0.25">
      <c r="L15" s="14"/>
      <c r="M15" s="14"/>
      <c r="N15" s="107"/>
      <c r="O15" s="107"/>
      <c r="P15" s="107"/>
      <c r="Q15" s="107"/>
      <c r="R15" s="107"/>
      <c r="S15" s="107"/>
      <c r="T15" s="107"/>
    </row>
    <row r="17" spans="2:11" x14ac:dyDescent="0.25">
      <c r="D17" s="20" t="s">
        <v>62</v>
      </c>
    </row>
    <row r="18" spans="2:11" ht="15.75" thickBot="1" x14ac:dyDescent="0.3"/>
    <row r="19" spans="2:11" ht="66" customHeight="1" thickBot="1" x14ac:dyDescent="0.3">
      <c r="B19" s="285" t="s">
        <v>123</v>
      </c>
      <c r="C19" s="286"/>
      <c r="D19" s="286"/>
      <c r="E19" s="286"/>
      <c r="F19" s="287"/>
      <c r="G19" s="285"/>
      <c r="H19" s="286"/>
      <c r="I19" s="286"/>
      <c r="J19" s="286"/>
      <c r="K19" s="287"/>
    </row>
    <row r="20" spans="2:11" x14ac:dyDescent="0.25">
      <c r="B20" s="1" t="s">
        <v>56</v>
      </c>
    </row>
  </sheetData>
  <mergeCells count="14">
    <mergeCell ref="B2:F2"/>
    <mergeCell ref="B14:F14"/>
    <mergeCell ref="E9:F9"/>
    <mergeCell ref="E10:F10"/>
    <mergeCell ref="E11:F11"/>
    <mergeCell ref="E12:F12"/>
    <mergeCell ref="B19:F19"/>
    <mergeCell ref="L14:T14"/>
    <mergeCell ref="B6:B7"/>
    <mergeCell ref="C6:C7"/>
    <mergeCell ref="D6:D7"/>
    <mergeCell ref="F6:F7"/>
    <mergeCell ref="B8:F8"/>
    <mergeCell ref="G19:K19"/>
  </mergeCells>
  <conditionalFormatting sqref="C10:C12">
    <cfRule type="expression" dxfId="2" priority="3">
      <formula>C10=MAX($C$10:$C$12)</formula>
    </cfRule>
  </conditionalFormatting>
  <conditionalFormatting sqref="D10:D12">
    <cfRule type="expression" dxfId="1" priority="2">
      <formula>D10=MAX($D$10:$D$12)</formula>
    </cfRule>
  </conditionalFormatting>
  <conditionalFormatting sqref="E10:E12">
    <cfRule type="expression" dxfId="0" priority="1">
      <formula>E10=MIN($E$10:$E$12)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Alternative 1</vt:lpstr>
      <vt:lpstr>Alternative 2</vt:lpstr>
      <vt:lpstr>Alternative 3</vt:lpstr>
      <vt:lpstr>Result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Hosein GHaforzadeh</dc:creator>
  <cp:lastModifiedBy>majale office</cp:lastModifiedBy>
  <cp:lastPrinted>2022-07-04T14:19:45Z</cp:lastPrinted>
  <dcterms:created xsi:type="dcterms:W3CDTF">2015-06-05T18:17:20Z</dcterms:created>
  <dcterms:modified xsi:type="dcterms:W3CDTF">2023-05-08T06:52:50Z</dcterms:modified>
</cp:coreProperties>
</file>